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Becky\Budget\Budget 25-26\Tentative Budget Hearing\"/>
    </mc:Choice>
  </mc:AlternateContent>
  <xr:revisionPtr revIDLastSave="0" documentId="13_ncr:1_{8232EF05-F21F-409F-9DCA-843D79358C91}" xr6:coauthVersionLast="47" xr6:coauthVersionMax="47" xr10:uidLastSave="{00000000-0000-0000-0000-000000000000}"/>
  <bookViews>
    <workbookView xWindow="28695" yWindow="0" windowWidth="29010" windowHeight="15585" tabRatio="919" xr2:uid="{00000000-000D-0000-FFFF-FFFF00000000}"/>
  </bookViews>
  <sheets>
    <sheet name="FY26 Prelim Budget - GF" sheetId="4" r:id="rId1"/>
    <sheet name="Computer Equip" sheetId="6" r:id="rId2"/>
    <sheet name="Communications" sheetId="8" r:id="rId3"/>
    <sheet name="Computer Maint - Software" sheetId="7" r:id="rId4"/>
    <sheet name="Repair and Maint - Building" sheetId="9" r:id="rId5"/>
    <sheet name="Travel &amp; Per Diem " sheetId="10" r:id="rId6"/>
    <sheet name="Utilities" sheetId="12" r:id="rId7"/>
    <sheet name="Rentals &amp; Leases" sheetId="13" r:id="rId8"/>
    <sheet name="Repair &amp; Maint - Vehicles" sheetId="14" r:id="rId9"/>
    <sheet name="Repair &amp; Maint - Equipment" sheetId="15" r:id="rId10"/>
    <sheet name="Repair &amp; Maint - Building" sheetId="16" r:id="rId11"/>
    <sheet name="Pub ED" sheetId="17" r:id="rId12"/>
    <sheet name="EMS Supplies" sheetId="19" r:id="rId13"/>
    <sheet name="PPE (Non Capital)" sheetId="20" r:id="rId14"/>
    <sheet name="Fire Equipment (Non Capital)" sheetId="21" r:id="rId15"/>
    <sheet name="Capital Outlay" sheetId="22" r:id="rId16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'FY26 Prelim Budget - GF'!$A$1:$J$125</definedName>
    <definedName name="_xlnm.Print_Area" localSheetId="5">'Travel &amp; Per Diem '!$A$1:$E$28</definedName>
    <definedName name="_xlnm.Print_Titles" localSheetId="0">'FY26 Prelim Budget - GF'!$2:$6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2" i="4" l="1"/>
  <c r="K97" i="4"/>
  <c r="K80" i="4"/>
  <c r="K42" i="4"/>
  <c r="H40" i="4"/>
  <c r="H38" i="4"/>
  <c r="H116" i="4" l="1"/>
  <c r="H100" i="4"/>
  <c r="J11" i="4"/>
  <c r="O9" i="4"/>
  <c r="O8" i="4"/>
  <c r="K8" i="4"/>
  <c r="L8" i="4" s="1"/>
  <c r="I117" i="4"/>
  <c r="I122" i="4"/>
  <c r="I119" i="4"/>
  <c r="J13" i="4"/>
  <c r="J17" i="4"/>
  <c r="J18" i="4"/>
  <c r="J20" i="4"/>
  <c r="J21" i="4"/>
  <c r="J23" i="4"/>
  <c r="J24" i="4"/>
  <c r="J26" i="4"/>
  <c r="F100" i="4"/>
  <c r="M8" i="4" l="1"/>
  <c r="M9" i="4" s="1"/>
  <c r="D20" i="22"/>
  <c r="D19" i="22"/>
  <c r="D18" i="22"/>
  <c r="D15" i="22"/>
  <c r="D10" i="22"/>
  <c r="D9" i="22"/>
  <c r="D11" i="22" l="1"/>
  <c r="I116" i="4"/>
  <c r="I114" i="4"/>
  <c r="F123" i="4"/>
  <c r="F125" i="4" s="1"/>
  <c r="G123" i="4"/>
  <c r="G125" i="4" s="1"/>
  <c r="F110" i="4"/>
  <c r="G110" i="4"/>
  <c r="F102" i="4"/>
  <c r="G102" i="4"/>
  <c r="F97" i="4"/>
  <c r="G97" i="4"/>
  <c r="F80" i="4"/>
  <c r="G80" i="4"/>
  <c r="F42" i="4"/>
  <c r="F27" i="4"/>
  <c r="B12" i="10"/>
  <c r="B11" i="10"/>
  <c r="B10" i="10"/>
  <c r="B9" i="10"/>
  <c r="B8" i="10"/>
  <c r="B7" i="10"/>
  <c r="B6" i="10"/>
  <c r="B4" i="10"/>
  <c r="I123" i="4" l="1"/>
  <c r="F104" i="4"/>
  <c r="B15" i="10"/>
  <c r="H85" i="4" l="1"/>
  <c r="C5" i="7" l="1"/>
  <c r="D4" i="20"/>
  <c r="D7" i="20"/>
  <c r="D13" i="20"/>
  <c r="D15" i="20"/>
  <c r="H15" i="20"/>
  <c r="D16" i="20"/>
  <c r="H16" i="20"/>
  <c r="D17" i="20"/>
  <c r="H17" i="20"/>
  <c r="D18" i="20"/>
  <c r="H18" i="20"/>
  <c r="D19" i="20"/>
  <c r="H19" i="20"/>
  <c r="D20" i="20"/>
  <c r="H20" i="20"/>
  <c r="D21" i="20"/>
  <c r="H21" i="20"/>
  <c r="D22" i="20"/>
  <c r="H22" i="20"/>
  <c r="D23" i="20"/>
  <c r="H23" i="20"/>
  <c r="D24" i="20"/>
  <c r="H24" i="20"/>
  <c r="J24" i="20"/>
  <c r="D7" i="16"/>
  <c r="D14" i="16"/>
  <c r="D25" i="16"/>
  <c r="D58" i="16"/>
  <c r="B8" i="9"/>
  <c r="C13" i="8"/>
  <c r="C12" i="8"/>
  <c r="C11" i="8"/>
  <c r="C8" i="8"/>
  <c r="C21" i="7"/>
  <c r="C20" i="7"/>
  <c r="C14" i="8"/>
  <c r="C6" i="8"/>
  <c r="C5" i="8"/>
  <c r="C4" i="8"/>
  <c r="C3" i="8"/>
  <c r="C17" i="8" s="1"/>
  <c r="C12" i="7"/>
  <c r="C10" i="7"/>
  <c r="C9" i="7"/>
  <c r="C8" i="7"/>
  <c r="C1" i="7"/>
  <c r="D4" i="6"/>
  <c r="D2" i="6"/>
  <c r="D7" i="6" s="1"/>
  <c r="D1" i="6"/>
  <c r="C26" i="7" l="1"/>
  <c r="H86" i="4"/>
  <c r="O48" i="4" l="1"/>
  <c r="O49" i="4" s="1"/>
  <c r="N48" i="4"/>
  <c r="O50" i="4" s="1"/>
  <c r="H123" i="4" l="1"/>
  <c r="H102" i="4"/>
  <c r="I83" i="4" l="1"/>
  <c r="H97" i="4"/>
  <c r="I93" i="4"/>
  <c r="I96" i="4"/>
  <c r="G42" i="4" l="1"/>
  <c r="G104" i="4" s="1"/>
  <c r="H42" i="4"/>
  <c r="G27" i="4" l="1"/>
  <c r="H27" i="4"/>
  <c r="H108" i="4" s="1"/>
  <c r="I15" i="4"/>
  <c r="I16" i="4"/>
  <c r="I101" i="4" l="1"/>
  <c r="J101" i="4" s="1"/>
  <c r="I100" i="4" l="1"/>
  <c r="I95" i="4"/>
  <c r="I94" i="4"/>
  <c r="I92" i="4"/>
  <c r="I91" i="4"/>
  <c r="I90" i="4"/>
  <c r="I89" i="4"/>
  <c r="I88" i="4"/>
  <c r="J88" i="4" s="1"/>
  <c r="I87" i="4"/>
  <c r="J87" i="4" s="1"/>
  <c r="I86" i="4"/>
  <c r="I85" i="4"/>
  <c r="J85" i="4" s="1"/>
  <c r="I79" i="4"/>
  <c r="J79" i="4" s="1"/>
  <c r="I78" i="4"/>
  <c r="J78" i="4" s="1"/>
  <c r="I77" i="4"/>
  <c r="I76" i="4"/>
  <c r="J76" i="4" s="1"/>
  <c r="I75" i="4"/>
  <c r="J75" i="4" s="1"/>
  <c r="I74" i="4"/>
  <c r="J74" i="4" s="1"/>
  <c r="I73" i="4"/>
  <c r="J73" i="4" s="1"/>
  <c r="I72" i="4"/>
  <c r="J72" i="4" s="1"/>
  <c r="I71" i="4"/>
  <c r="J71" i="4" s="1"/>
  <c r="I70" i="4"/>
  <c r="J70" i="4" s="1"/>
  <c r="I69" i="4"/>
  <c r="J69" i="4" s="1"/>
  <c r="I68" i="4"/>
  <c r="J68" i="4" s="1"/>
  <c r="I67" i="4"/>
  <c r="J67" i="4" s="1"/>
  <c r="I66" i="4"/>
  <c r="J66" i="4" s="1"/>
  <c r="I65" i="4"/>
  <c r="J65" i="4" s="1"/>
  <c r="H64" i="4"/>
  <c r="I64" i="4" s="1"/>
  <c r="J64" i="4" s="1"/>
  <c r="I63" i="4"/>
  <c r="J63" i="4" s="1"/>
  <c r="I62" i="4"/>
  <c r="J62" i="4" s="1"/>
  <c r="I61" i="4"/>
  <c r="H60" i="4"/>
  <c r="I60" i="4" s="1"/>
  <c r="J60" i="4" s="1"/>
  <c r="I59" i="4"/>
  <c r="J59" i="4" s="1"/>
  <c r="I58" i="4"/>
  <c r="J58" i="4" s="1"/>
  <c r="I57" i="4"/>
  <c r="J57" i="4" s="1"/>
  <c r="I56" i="4"/>
  <c r="J56" i="4" s="1"/>
  <c r="H55" i="4"/>
  <c r="I55" i="4" s="1"/>
  <c r="J55" i="4" s="1"/>
  <c r="I54" i="4"/>
  <c r="J54" i="4" s="1"/>
  <c r="H53" i="4"/>
  <c r="I52" i="4"/>
  <c r="J52" i="4" s="1"/>
  <c r="I51" i="4"/>
  <c r="J51" i="4" s="1"/>
  <c r="I50" i="4"/>
  <c r="J50" i="4" s="1"/>
  <c r="I49" i="4"/>
  <c r="J49" i="4" s="1"/>
  <c r="I48" i="4"/>
  <c r="J48" i="4" s="1"/>
  <c r="I47" i="4"/>
  <c r="J47" i="4" s="1"/>
  <c r="I46" i="4"/>
  <c r="J46" i="4" s="1"/>
  <c r="I45" i="4"/>
  <c r="J45" i="4" s="1"/>
  <c r="I13" i="4"/>
  <c r="I41" i="4"/>
  <c r="J41" i="4" s="1"/>
  <c r="I40" i="4"/>
  <c r="J40" i="4" s="1"/>
  <c r="I39" i="4"/>
  <c r="J39" i="4" s="1"/>
  <c r="I38" i="4"/>
  <c r="J38" i="4" s="1"/>
  <c r="I37" i="4"/>
  <c r="J37" i="4" s="1"/>
  <c r="I36" i="4"/>
  <c r="J36" i="4" s="1"/>
  <c r="I35" i="4"/>
  <c r="J35" i="4" s="1"/>
  <c r="I34" i="4"/>
  <c r="J34" i="4" s="1"/>
  <c r="I33" i="4"/>
  <c r="J33" i="4" s="1"/>
  <c r="I32" i="4"/>
  <c r="J32" i="4" s="1"/>
  <c r="I31" i="4"/>
  <c r="J31" i="4" s="1"/>
  <c r="I30" i="4"/>
  <c r="J30" i="4" s="1"/>
  <c r="I26" i="4"/>
  <c r="I25" i="4"/>
  <c r="I24" i="4"/>
  <c r="I23" i="4"/>
  <c r="I22" i="4"/>
  <c r="I21" i="4"/>
  <c r="I20" i="4"/>
  <c r="I19" i="4"/>
  <c r="I18" i="4"/>
  <c r="I17" i="4"/>
  <c r="I11" i="4"/>
  <c r="I14" i="4"/>
  <c r="I102" i="4" l="1"/>
  <c r="J102" i="4" s="1"/>
  <c r="J100" i="4"/>
  <c r="H80" i="4"/>
  <c r="H104" i="4" s="1"/>
  <c r="H109" i="4" s="1"/>
  <c r="H128" i="4" s="1"/>
  <c r="I53" i="4"/>
  <c r="I84" i="4"/>
  <c r="I42" i="4"/>
  <c r="J42" i="4" s="1"/>
  <c r="I97" i="4" l="1"/>
  <c r="J97" i="4" s="1"/>
  <c r="J84" i="4"/>
  <c r="I80" i="4"/>
  <c r="J80" i="4" s="1"/>
  <c r="J53" i="4"/>
  <c r="I104" i="4" l="1"/>
  <c r="I12" i="4"/>
  <c r="I27" i="4" s="1"/>
  <c r="J27" i="4" s="1"/>
  <c r="J104" i="4" l="1"/>
  <c r="E98" i="4" l="1"/>
  <c r="D98" i="4"/>
  <c r="C97" i="4"/>
  <c r="E80" i="4"/>
  <c r="D80" i="4"/>
  <c r="C80" i="4" l="1"/>
  <c r="D107" i="4" l="1"/>
  <c r="C107" i="4"/>
  <c r="E97" i="4" l="1"/>
  <c r="D97" i="4"/>
  <c r="E123" i="4"/>
  <c r="D123" i="4"/>
  <c r="E42" i="4"/>
  <c r="D42" i="4"/>
  <c r="E27" i="4"/>
  <c r="D27" i="4"/>
  <c r="D108" i="4" s="1"/>
  <c r="C42" i="4"/>
  <c r="C104" i="4" s="1"/>
  <c r="C123" i="4"/>
  <c r="D104" i="4" l="1"/>
  <c r="D109" i="4" s="1"/>
  <c r="D110" i="4" s="1"/>
  <c r="E104" i="4"/>
  <c r="C109" i="4"/>
  <c r="E125" i="4" l="1"/>
  <c r="D125" i="4"/>
  <c r="C27" i="4"/>
  <c r="C108" i="4" s="1"/>
  <c r="H8" i="4" l="1"/>
  <c r="C110" i="4"/>
  <c r="C125" i="4"/>
  <c r="H107" i="4" l="1"/>
  <c r="H125" i="4" s="1"/>
  <c r="I8" i="4"/>
  <c r="J8" i="4" s="1"/>
  <c r="H110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tc={94E76994-7A38-49BA-8532-4716568E655E}</author>
    <author>tc={74F6B00D-601A-45BD-AD48-4053A2AE723C}</author>
    <author>tc={A00905A3-702D-4C7C-9C21-0769739716F5}</author>
    <author>tc={B14CBB6B-FF89-4133-84C2-F63E5A12F9EA}</author>
    <author>tc={A64AB737-4652-48EF-901D-7EC37F184DF0}</author>
    <author>tc={A27AC0AC-248A-49C4-8A48-881CB546E86A}</author>
    <author>tc={D3690109-2BC4-4CD9-B219-1904862982C0}</author>
    <author>tc={2598A6BC-CB0A-4BB5-AAC4-DFEFB41564FD}</author>
    <author>tc={18B796BA-8DE1-4EB0-B3D3-2F3E5117C389}</author>
    <author>tc={54BEC8CB-CE63-4AE3-BBB5-202D66758C65}</author>
    <author>tc={E3A35567-DF4A-4B31-865D-329DD36CA0F1}</author>
    <author>tc={1BE3126F-598D-49F2-A604-FA6C0572A4F5}</author>
    <author>tc={7CCCD5B4-4723-4CFF-A8E0-ADC0C2F10354}</author>
    <author>James West</author>
    <author>tc={3B621ECC-0957-4FF8-844A-A7D9F13B6D2E}</author>
    <author>tc={869C248C-9607-4D1E-A4D8-CF434BA7746C}</author>
    <author>tc={0F6C71DC-A970-4C20-B360-3621B5FF5D00}</author>
    <author>tc={8999034B-3F6B-446C-BC97-3FE752E6890F}</author>
    <author>tc={D2BCFF67-42DD-4EA3-B5AF-5972F04B02C6}</author>
    <author>tc={DE704341-A940-41F4-B336-8E392F333E62}</author>
    <author>tc={DB34F003-4778-4B40-8BD3-4109478B6B06}</author>
    <author>tc={222069D7-BA08-4E40-A5D6-06AA4C9E4D9F}</author>
    <author>tc={F5A0C9CD-C840-42F2-9F26-9AE47B67F617}</author>
    <author>tc={49438EE6-1F4A-42A3-AA89-C365001CE697}</author>
    <author>tc={CF2D0E24-0B17-4790-9777-EFCC0A04A8E6}</author>
    <author>tc={0567CE60-1D23-4D58-8D96-60563FE3A3D3}</author>
    <author>tc={EA8E5A18-B9D3-4CD1-A454-07865CB7998F}</author>
    <author>tc={C4F8555D-25E6-41A1-9463-B61E74B5D3E5}</author>
    <author>tc={9C57819A-C5D3-41A7-96EE-1C727B4CDF59}</author>
    <author>tc={161309BD-5A9E-48B5-B7D9-F4ADE335F763}</author>
  </authors>
  <commentList>
    <comment ref="H18" authorId="0" shapeId="0" xr:uid="{94E76994-7A38-49BA-8532-4716568E655E}">
      <text>
        <t>[Threaded comment]
Your version of Excel allows you to read this threaded comment; however, any edits to it will get removed if the file is opened in a newer version of Excel. Learn more: https://go.microsoft.com/fwlink/?linkid=870924
Comment:
    2% CPI for utilities and other expenses billed</t>
      </text>
    </comment>
    <comment ref="H20" authorId="1" shapeId="0" xr:uid="{74F6B00D-601A-45BD-AD48-4053A2AE723C}">
      <text>
        <t>[Threaded comment]
Your version of Excel allows you to read this threaded comment; however, any edits to it will get removed if the file is opened in a newer version of Excel. Learn more: https://go.microsoft.com/fwlink/?linkid=870924
Comment:
    Sale of F150 and Tahoe - $10K each?</t>
      </text>
    </comment>
    <comment ref="H26" authorId="2" shapeId="0" xr:uid="{A00905A3-702D-4C7C-9C21-0769739716F5}">
      <text>
        <t>[Threaded comment]
Your version of Excel allows you to read this threaded comment; however, any edits to it will get removed if the file is opened in a newer version of Excel. Learn more: https://go.microsoft.com/fwlink/?linkid=870924
Comment:
    Received $200K for only a portion of the FY. Conservative increase of 10%</t>
      </text>
    </comment>
    <comment ref="H45" authorId="3" shapeId="0" xr:uid="{B14CBB6B-FF89-4133-84C2-F63E5A12F9EA}">
      <text>
        <t>[Threaded comment]
Your version of Excel allows you to read this threaded comment; however, any edits to it will get removed if the file is opened in a newer version of Excel. Learn more: https://go.microsoft.com/fwlink/?linkid=870924
Comment:
    50 employees at $350/each</t>
      </text>
    </comment>
    <comment ref="H52" authorId="4" shapeId="0" xr:uid="{A64AB737-4652-48EF-901D-7EC37F184DF0}">
      <text>
        <t>[Threaded comment]
Your version of Excel allows you to read this threaded comment; however, any edits to it will get removed if the file is opened in a newer version of Excel. Learn more: https://go.microsoft.com/fwlink/?linkid=870924
Comment:
    Need to discuss with staff</t>
      </text>
    </comment>
    <comment ref="H53" authorId="5" shapeId="0" xr:uid="{A27AC0AC-248A-49C4-8A48-881CB546E86A}">
      <text>
        <t>[Threaded comment]
Your version of Excel allows you to read this threaded comment; however, any edits to it will get removed if the file is opened in a newer version of Excel. Learn more: https://go.microsoft.com/fwlink/?linkid=870924
Comment:
    3% COLA increase</t>
      </text>
    </comment>
    <comment ref="H54" authorId="6" shapeId="0" xr:uid="{D3690109-2BC4-4CD9-B219-1904862982C0}">
      <text>
        <t>[Threaded comment]
Your version of Excel allows you to read this threaded comment; however, any edits to it will get removed if the file is opened in a newer version of Excel. Learn more: https://go.microsoft.com/fwlink/?linkid=870924
Comment:
    Increase by $500</t>
      </text>
    </comment>
    <comment ref="H55" authorId="7" shapeId="0" xr:uid="{2598A6BC-CB0A-4BB5-AAC4-DFEFB41564FD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Discussed with DN. Keep it at same with 3% CPI adjustment</t>
      </text>
    </comment>
    <comment ref="H56" authorId="8" shapeId="0" xr:uid="{18B796BA-8DE1-4EB0-B3D3-2F3E5117C389}">
      <text>
        <t>[Threaded comment]
Your version of Excel allows you to read this threaded comment; however, any edits to it will get removed if the file is opened in a newer version of Excel. Learn more: https://go.microsoft.com/fwlink/?linkid=870924
Comment:
    Jay Roth provided prelim rates via email. $202K however budget $230K for last minute variations.</t>
      </text>
    </comment>
    <comment ref="H57" authorId="9" shapeId="0" xr:uid="{54BEC8CB-CE63-4AE3-BBB5-202D66758C65}">
      <text>
        <t>[Threaded comment]
Your version of Excel allows you to read this threaded comment; however, any edits to it will get removed if the file is opened in a newer version of Excel. Learn more: https://go.microsoft.com/fwlink/?linkid=870924
Comment:
    Ended FY24 with $93K - budget $95. Potentially end the year around $84K. Checked with DN</t>
      </text>
    </comment>
    <comment ref="H58" authorId="10" shapeId="0" xr:uid="{E3A35567-DF4A-4B31-865D-329DD36CA0F1}">
      <text>
        <t>[Threaded comment]
Your version of Excel allows you to read this threaded comment; however, any edits to it will get removed if the file is opened in a newer version of Excel. Learn more: https://go.microsoft.com/fwlink/?linkid=870924
Comment:
    On pace to be around $37K in FY25. Checked with DN</t>
      </text>
    </comment>
    <comment ref="H59" authorId="11" shapeId="0" xr:uid="{1BE3126F-598D-49F2-A604-FA6C0572A4F5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FY25 current trend. Takes into account lawn maintenance, pest control, generators, HVAC, etc. Checked with DN</t>
      </text>
    </comment>
    <comment ref="H60" authorId="12" shapeId="0" xr:uid="{7CCCD5B4-4723-4CFF-A8E0-ADC0C2F10354}">
      <text>
        <t>[Threaded comment]
Your version of Excel allows you to read this threaded comment; however, any edits to it will get removed if the file is opened in a newer version of Excel. Learn more: https://go.microsoft.com/fwlink/?linkid=870924
Comment:
    COLA 3%</t>
      </text>
    </comment>
    <comment ref="H62" authorId="13" shapeId="0" xr:uid="{30B91AB0-8C6B-4C4E-8F82-8D2505CF316C}">
      <text>
        <r>
          <rPr>
            <b/>
            <sz val="9"/>
            <color indexed="81"/>
            <rFont val="Tahoma"/>
            <family val="2"/>
          </rPr>
          <t>James West:</t>
        </r>
        <r>
          <rPr>
            <sz val="9"/>
            <color indexed="81"/>
            <rFont val="Tahoma"/>
            <family val="2"/>
          </rPr>
          <t xml:space="preserve">
$16,588 - SCBA related equipment
$1,600 - (2) 4 gas monitors. PDW DN, keep it at $26K for addiitonal equipment (nozzles, hose, valves, ladders, etc)</t>
        </r>
      </text>
    </comment>
    <comment ref="H63" authorId="14" shapeId="0" xr:uid="{3B621ECC-0957-4FF8-844A-A7D9F13B6D2E}">
      <text>
        <t>[Threaded comment]
Your version of Excel allows you to read this threaded comment; however, any edits to it will get removed if the file is opened in a newer version of Excel. Learn more: https://go.microsoft.com/fwlink/?linkid=870924
Comment:
    PDW DN increase by $1,000 to account for renting scissor lifts sporadically ($1,000/week)</t>
      </text>
    </comment>
    <comment ref="H64" authorId="15" shapeId="0" xr:uid="{869C248C-9607-4D1E-A4D8-CF434BA7746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 significant changes other than CPI adjustment 3%. PDW DN. </t>
      </text>
    </comment>
    <comment ref="H65" authorId="16" shapeId="0" xr:uid="{0F6C71DC-A970-4C20-B360-3621B5FF5D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Derek, leave same amount of $30K based on needs for FY26</t>
      </text>
    </comment>
    <comment ref="H66" authorId="17" shapeId="0" xr:uid="{8999034B-3F6B-446C-BC97-3FE752E6890F}">
      <text>
        <t>[Threaded comment]
Your version of Excel allows you to read this threaded comment; however, any edits to it will get removed if the file is opened in a newer version of Excel. Learn more: https://go.microsoft.com/fwlink/?linkid=870924
Comment:
    PDW DN, decrease to $15K based on trend and current YTD expenditures</t>
      </text>
    </comment>
    <comment ref="H67" authorId="13" shapeId="0" xr:uid="{67DB7D38-A9F0-45C3-81F2-79CF7910BBA1}">
      <text>
        <r>
          <rPr>
            <b/>
            <sz val="9"/>
            <color indexed="81"/>
            <rFont val="Tahoma"/>
            <family val="2"/>
          </rPr>
          <t>James West:</t>
        </r>
        <r>
          <rPr>
            <sz val="9"/>
            <color indexed="81"/>
            <rFont val="Tahoma"/>
            <family val="2"/>
          </rPr>
          <t xml:space="preserve">
Derek to follow up on med pricing with Chief Batiato (ALS)</t>
        </r>
      </text>
    </comment>
    <comment ref="H68" authorId="18" shapeId="0" xr:uid="{D2BCFF67-42DD-4EA3-B5AF-5972F04B02C6}">
      <text>
        <t>[Threaded comment]
Your version of Excel allows you to read this threaded comment; however, any edits to it will get removed if the file is opened in a newer version of Excel. Learn more: https://go.microsoft.com/fwlink/?linkid=870924
Comment:
    PDW DN, increase by $1K to be consistent with FY25 trend and cost of inflation</t>
      </text>
    </comment>
    <comment ref="H69" authorId="19" shapeId="0" xr:uid="{DE704341-A940-41F4-B336-8E392F333E62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Chief Batiato’s spreadsheet</t>
      </text>
    </comment>
    <comment ref="H70" authorId="20" shapeId="0" xr:uid="{DB34F003-4778-4B40-8BD3-4109478B6B06}">
      <text>
        <t>[Threaded comment]
Your version of Excel allows you to read this threaded comment; however, any edits to it will get removed if the file is opened in a newer version of Excel. Learn more: https://go.microsoft.com/fwlink/?linkid=870924
Comment:
    Volatile market - adjust to $75K. FY24 was $77K. FY25 on track to be close to $60K but this does not take into consideration hurricanes. Discussed with DN to keep it at $75K</t>
      </text>
    </comment>
    <comment ref="H71" authorId="21" shapeId="0" xr:uid="{222069D7-BA08-4E40-A5D6-06AA4C9E4D9F}">
      <text>
        <t>[Threaded comment]
Your version of Excel allows you to read this threaded comment; however, any edits to it will get removed if the file is opened in a newer version of Excel. Learn more: https://go.microsoft.com/fwlink/?linkid=870924
Comment:
    Need more data from Derek on what will be purchased and how much to budget. FY25 on pace to be around $30K mark - same as FY24. Increase by $5K per DN</t>
      </text>
    </comment>
    <comment ref="H72" authorId="22" shapeId="0" xr:uid="{F5A0C9CD-C840-42F2-9F26-9AE47B67F617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conversations with Jason</t>
      </text>
    </comment>
    <comment ref="H73" authorId="23" shapeId="0" xr:uid="{49438EE6-1F4A-42A3-AA89-C365001CE697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new website ADA compliance plus increase by switching to Vector. See Computer Maint Software Tab</t>
      </text>
    </comment>
    <comment ref="H75" authorId="24" shapeId="0" xr:uid="{CF2D0E24-0B17-4790-9777-EFCC0A04A8E6}">
      <text>
        <t>[Threaded comment]
Your version of Excel allows you to read this threaded comment; however, any edits to it will get removed if the file is opened in a newer version of Excel. Learn more: https://go.microsoft.com/fwlink/?linkid=870924
Comment:
    PDW DN, $5K should suffice based on needs and his spreadsheet</t>
      </text>
    </comment>
    <comment ref="H76" authorId="25" shapeId="0" xr:uid="{0567CE60-1D23-4D58-8D96-60563FE3A3D3}">
      <text>
        <t>[Threaded comment]
Your version of Excel allows you to read this threaded comment; however, any edits to it will get removed if the file is opened in a newer version of Excel. Learn more: https://go.microsoft.com/fwlink/?linkid=870924
Comment:
    Consistent with last year and on pace for FY25</t>
      </text>
    </comment>
    <comment ref="H78" authorId="26" shapeId="0" xr:uid="{EA8E5A18-B9D3-4CD1-A454-07865CB7998F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Chief Batiato spreadsheet. Initially budgeted $79,100 but can’t find support for that figure - only Dave’s spreadsheet totaling $69,050</t>
      </text>
    </comment>
    <comment ref="H79" authorId="27" shapeId="0" xr:uid="{C4F8555D-25E6-41A1-9463-B61E74B5D3E5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FY25. FY24 was $5.7K - more staff</t>
      </text>
    </comment>
    <comment ref="H85" authorId="28" shapeId="0" xr:uid="{9C57819A-C5D3-41A7-96EE-1C727B4CDF59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Chief Batiato - $6,500 trailer w/ awning, $4,700 smoke generator, and $3,500 in medical props</t>
      </text>
    </comment>
    <comment ref="H86" authorId="13" shapeId="0" xr:uid="{F4FF7144-82B8-45D6-BF27-7E6A700BBAF2}">
      <text>
        <r>
          <rPr>
            <b/>
            <sz val="9"/>
            <color indexed="81"/>
            <rFont val="Tahoma"/>
            <family val="2"/>
          </rPr>
          <t>James West:</t>
        </r>
        <r>
          <rPr>
            <sz val="9"/>
            <color indexed="81"/>
            <rFont val="Tahoma"/>
            <family val="2"/>
          </rPr>
          <t xml:space="preserve">
8 lifepak AEDs - see attached.
RIT Pack - $4,500</t>
        </r>
      </text>
    </comment>
    <comment ref="H87" authorId="13" shapeId="0" xr:uid="{95597231-F84D-4248-B355-EDD39EC69708}">
      <text>
        <r>
          <rPr>
            <b/>
            <sz val="9"/>
            <color indexed="81"/>
            <rFont val="Tahoma"/>
            <family val="2"/>
          </rPr>
          <t>James West:</t>
        </r>
        <r>
          <rPr>
            <sz val="9"/>
            <color indexed="81"/>
            <rFont val="Tahoma"/>
            <family val="2"/>
          </rPr>
          <t xml:space="preserve">
6 sets - see attached </t>
        </r>
      </text>
    </comment>
    <comment ref="H93" authorId="29" shapeId="0" xr:uid="{161309BD-5A9E-48B5-B7D9-F4ADE335F763}">
      <text>
        <t>[Threaded comment]
Your version of Excel allows you to read this threaded comment; however, any edits to it will get removed if the file is opened in a newer version of Excel. Learn more: https://go.microsoft.com/fwlink/?linkid=870924
Comment:
    New expedition for Chief Mendoza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tc={7EA62C13-3EDB-4A39-92B8-B8FE922D767E}</author>
    <author>tc={F2285400-6FD8-4315-B9CD-F343B494128A}</author>
  </authors>
  <commentList>
    <comment ref="C8" authorId="0" shapeId="0" xr:uid="{7EA62C13-3EDB-4A39-92B8-B8FE922D767E}">
      <text>
        <t>[Threaded comment]
Your version of Excel allows you to read this threaded comment; however, any edits to it will get removed if the file is opened in a newer version of Excel. Learn more: https://go.microsoft.com/fwlink/?linkid=870924
Comment:
    5% increase in monthly cost</t>
      </text>
    </comment>
    <comment ref="C11" authorId="1" shapeId="0" xr:uid="{F2285400-6FD8-4315-B9CD-F343B494128A}">
      <text>
        <t>[Threaded comment]
Your version of Excel allows you to read this threaded comment; however, any edits to it will get removed if the file is opened in a newer version of Excel. Learn more: https://go.microsoft.com/fwlink/?linkid=870924
Comment:
    5% increase on all comcast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tc={5FAA011C-4446-41A2-B536-1E572A97B65B}</author>
    <author>tc={B91AF65C-B6EF-4D58-B869-594973D5168A}</author>
  </authors>
  <commentList>
    <comment ref="C15" authorId="0" shapeId="0" xr:uid="{5FAA011C-4446-41A2-B536-1E572A97B65B}">
      <text>
        <t>[Threaded comment]
Your version of Excel allows you to read this threaded comment; however, any edits to it will get removed if the file is opened in a newer version of Excel. Learn more: https://go.microsoft.com/fwlink/?linkid=870924
Comment:
    $150/month</t>
      </text>
    </comment>
    <comment ref="A22" authorId="1" shapeId="0" xr:uid="{B91AF65C-B6EF-4D58-B869-594973D5168A}">
      <text>
        <t>[Threaded comment]
Your version of Excel allows you to read this threaded comment; however, any edits to it will get removed if the file is opened in a newer version of Excel. Learn more: https://go.microsoft.com/fwlink/?linkid=870924
Comment:
    ALS Software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tc={7DF1FAC8-BD72-4802-BC3F-D7D36AC87B34}</author>
    <author>tc={09DFB019-BDB7-4062-A610-21808A631FE4}</author>
  </authors>
  <commentList>
    <comment ref="B6" authorId="0" shapeId="0" xr:uid="{7DF1FAC8-BD72-4802-BC3F-D7D36AC87B34}">
      <text>
        <t>[Threaded comment]
Your version of Excel allows you to read this threaded comment; however, any edits to it will get removed if the file is opened in a newer version of Excel. Learn more: https://go.microsoft.com/fwlink/?linkid=870924
Comment:
    Dave budgeted $800</t>
      </text>
    </comment>
    <comment ref="B9" authorId="1" shapeId="0" xr:uid="{09DFB019-BDB7-4062-A610-21808A631FE4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Dave’s spreadsheet</t>
      </text>
    </comment>
  </commentList>
</comments>
</file>

<file path=xl/sharedStrings.xml><?xml version="1.0" encoding="utf-8"?>
<sst xmlns="http://schemas.openxmlformats.org/spreadsheetml/2006/main" count="423" uniqueCount="396">
  <si>
    <t>COMPUTER EQUIPMENT</t>
  </si>
  <si>
    <t>TOTAL REVENUE</t>
  </si>
  <si>
    <t>COMMUNICATIONS EQUIPMENT</t>
  </si>
  <si>
    <t>FURNITURE/OFFICE</t>
  </si>
  <si>
    <t>STATION EQUIPMENT</t>
  </si>
  <si>
    <t>TOTAL RESERVES</t>
  </si>
  <si>
    <t>Amendment</t>
  </si>
  <si>
    <t>LAND</t>
  </si>
  <si>
    <t>FF RESCUE EQUIPMENT</t>
  </si>
  <si>
    <t>2017-2018</t>
  </si>
  <si>
    <t>JUNE.2018</t>
  </si>
  <si>
    <t>BEGINNING CASH RESERVES</t>
  </si>
  <si>
    <t>TOTAL EXPENSES</t>
  </si>
  <si>
    <t>BUNKER GEAR</t>
  </si>
  <si>
    <t>Ending Cash Reserves</t>
  </si>
  <si>
    <t>001</t>
  </si>
  <si>
    <t>040</t>
  </si>
  <si>
    <t>007</t>
  </si>
  <si>
    <t>008</t>
  </si>
  <si>
    <t>009</t>
  </si>
  <si>
    <t>010</t>
  </si>
  <si>
    <t>011</t>
  </si>
  <si>
    <t>012</t>
  </si>
  <si>
    <t>013</t>
  </si>
  <si>
    <t>015</t>
  </si>
  <si>
    <t>016</t>
  </si>
  <si>
    <t>Amended Budget</t>
  </si>
  <si>
    <t>Revenue</t>
  </si>
  <si>
    <t>Total Revenue</t>
  </si>
  <si>
    <t>Personnel Expenses</t>
  </si>
  <si>
    <t>Holiday Pay</t>
  </si>
  <si>
    <t>Sale of Surplus Materials and Equipment</t>
  </si>
  <si>
    <t>Public Safety Grants - County CDBG</t>
  </si>
  <si>
    <t>Public Safety Grants - FF Supplement</t>
  </si>
  <si>
    <t>Interest Income</t>
  </si>
  <si>
    <t>Rents and Royalties</t>
  </si>
  <si>
    <t>Donations</t>
  </si>
  <si>
    <t>Other Miscellaneous Revenue</t>
  </si>
  <si>
    <t>Total Personnel Expenses</t>
  </si>
  <si>
    <t>Operating Expenses</t>
  </si>
  <si>
    <t>Employee Physicals</t>
  </si>
  <si>
    <t>Balance Forward - Cash Reserves (Assigned)</t>
  </si>
  <si>
    <t>Overtime</t>
  </si>
  <si>
    <t>FLSA Overtime</t>
  </si>
  <si>
    <t>Vacation Time Sell Back</t>
  </si>
  <si>
    <t>Sick Time Sell Back</t>
  </si>
  <si>
    <t>Social Security</t>
  </si>
  <si>
    <t>Retirement</t>
  </si>
  <si>
    <t>Worker's Compensation Insurance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</si>
  <si>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</si>
  <si>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</si>
  <si>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</si>
  <si>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</si>
  <si>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</si>
  <si>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</si>
  <si>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</si>
  <si>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</si>
  <si>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</si>
  <si>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</si>
  <si>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Professional Fees - Legal</t>
  </si>
  <si>
    <t>Property Appraiser Fees</t>
  </si>
  <si>
    <t>Tax Collector Fees</t>
  </si>
  <si>
    <t>Professional Fees - Other</t>
  </si>
  <si>
    <t>Contracted Services - Audit</t>
  </si>
  <si>
    <t>Travel &amp; Per Diem</t>
  </si>
  <si>
    <t>Communications (Telephone/Internet/Direct TV)</t>
  </si>
  <si>
    <t>Bldg./Auto/Liability Insurance</t>
  </si>
  <si>
    <t>Repair &amp; Maintenance - Vehicles</t>
  </si>
  <si>
    <t>Repair &amp; Maintenance - Fire &amp; Rescue Equipment</t>
  </si>
  <si>
    <t>Repair &amp; Maintenance - Building</t>
  </si>
  <si>
    <t>Legal Advertising</t>
  </si>
  <si>
    <t>Printing</t>
  </si>
  <si>
    <t>Office Supplies</t>
  </si>
  <si>
    <t>Total Operating Expenses</t>
  </si>
  <si>
    <t>045</t>
  </si>
  <si>
    <t>050</t>
  </si>
  <si>
    <t>046</t>
  </si>
  <si>
    <t>047</t>
  </si>
  <si>
    <t>048</t>
  </si>
  <si>
    <t>049</t>
  </si>
  <si>
    <t>059</t>
  </si>
  <si>
    <t>061</t>
  </si>
  <si>
    <t>062</t>
  </si>
  <si>
    <t>063</t>
  </si>
  <si>
    <t>068</t>
  </si>
  <si>
    <t>073</t>
  </si>
  <si>
    <t>074</t>
  </si>
  <si>
    <t>075</t>
  </si>
  <si>
    <t>076</t>
  </si>
  <si>
    <t>078</t>
  </si>
  <si>
    <t>080</t>
  </si>
  <si>
    <t>081</t>
  </si>
  <si>
    <t>EMS Supplies</t>
  </si>
  <si>
    <t>Fuel &amp; Oil</t>
  </si>
  <si>
    <t>Uniforms</t>
  </si>
  <si>
    <t>Computer Equipment (Non-Capital)</t>
  </si>
  <si>
    <t>Miscellaneous Expense</t>
  </si>
  <si>
    <t>Communication (Radio) (Non-Capital)</t>
  </si>
  <si>
    <t>Public Education</t>
  </si>
  <si>
    <t>Furniture (Non-Capital)</t>
  </si>
  <si>
    <t>Education and Training</t>
  </si>
  <si>
    <t>Books &amp; Dues</t>
  </si>
  <si>
    <t>Capital Expenses</t>
  </si>
  <si>
    <t>Total Capital Expenses</t>
  </si>
  <si>
    <t>Assignment of Reserves</t>
  </si>
  <si>
    <t>Unassigned</t>
  </si>
  <si>
    <t>Assigned - First Quarter of Operations</t>
  </si>
  <si>
    <t>Assigned - Emergency</t>
  </si>
  <si>
    <t xml:space="preserve">Station Supplies </t>
  </si>
  <si>
    <t>Collier County Ad Valorem - 3.75 Millage Rate</t>
  </si>
  <si>
    <t>Debt Service</t>
  </si>
  <si>
    <t>Principal</t>
  </si>
  <si>
    <t>Interest</t>
  </si>
  <si>
    <t>Total Debt Service</t>
  </si>
  <si>
    <t>Special Event Fees</t>
  </si>
  <si>
    <t>Excess of Revenue Over (Under) Expenses - Use of Reserves</t>
  </si>
  <si>
    <t>Group Insurance (Health/Dental/Life, Medical Clinic)</t>
  </si>
  <si>
    <t>Disposition of Fixed Assets</t>
  </si>
  <si>
    <t>Postage &amp; Shipping</t>
  </si>
  <si>
    <t>Utilities</t>
  </si>
  <si>
    <t>Fire Equipment (Non-Capital)</t>
  </si>
  <si>
    <t>079</t>
  </si>
  <si>
    <t>Lease &amp; Rental</t>
  </si>
  <si>
    <t>Training Supplies</t>
  </si>
  <si>
    <t>FIRE EQUIPMENT-GRANT MATCHING FUNDS</t>
  </si>
  <si>
    <t>TRAINING EQUIPMENT</t>
  </si>
  <si>
    <t>BUILDINGS/CIP (STATION 30)</t>
  </si>
  <si>
    <t>State Grant - Station 30 Construction</t>
  </si>
  <si>
    <t>Payment in Lieu of Taxes - Seminole</t>
  </si>
  <si>
    <t>002</t>
  </si>
  <si>
    <t>003</t>
  </si>
  <si>
    <t>004</t>
  </si>
  <si>
    <t>005</t>
  </si>
  <si>
    <t>006</t>
  </si>
  <si>
    <t>Donations - Station 32 Bricks</t>
  </si>
  <si>
    <t>Health Insurance - Commissioners</t>
  </si>
  <si>
    <t>051</t>
  </si>
  <si>
    <t>052</t>
  </si>
  <si>
    <t>053</t>
  </si>
  <si>
    <t>054</t>
  </si>
  <si>
    <t>055</t>
  </si>
  <si>
    <t>056</t>
  </si>
  <si>
    <t>057</t>
  </si>
  <si>
    <t>058</t>
  </si>
  <si>
    <t>064</t>
  </si>
  <si>
    <t>065</t>
  </si>
  <si>
    <t>066</t>
  </si>
  <si>
    <t>067</t>
  </si>
  <si>
    <t>070</t>
  </si>
  <si>
    <t>071</t>
  </si>
  <si>
    <t>072</t>
  </si>
  <si>
    <t>077</t>
  </si>
  <si>
    <t>CDBG GRANT-Vehicle</t>
  </si>
  <si>
    <t>Other Grants</t>
  </si>
  <si>
    <t xml:space="preserve">Salaries </t>
  </si>
  <si>
    <t>Professional Fees - Lexipol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</si>
  <si>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</si>
  <si>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</si>
  <si>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</si>
  <si>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</si>
  <si>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</si>
  <si>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</si>
  <si>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</si>
  <si>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</si>
  <si>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</si>
  <si>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</si>
  <si>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</si>
  <si>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COVID GRANT EQUIPMENT</t>
  </si>
  <si>
    <t>VEHICLES</t>
  </si>
  <si>
    <t>Assigned - Projected Deficit</t>
  </si>
  <si>
    <t>Proceeds from Debt - Vehicle Lease</t>
  </si>
  <si>
    <t>Assigned - COVID Grant Replacement Vehicle</t>
  </si>
  <si>
    <t>GRANT EQUIPMENT (STATION 30)</t>
  </si>
  <si>
    <t>Assigned - Capital Purchases- Vehicle</t>
  </si>
  <si>
    <t>Assigned - Building</t>
  </si>
  <si>
    <t>Assigned - Debt</t>
  </si>
  <si>
    <t>Assigned-Station 30 Replacement Equipment</t>
  </si>
  <si>
    <t>Personal Protective Gear</t>
  </si>
  <si>
    <t>Public Safety Grants - Opioid</t>
  </si>
  <si>
    <t>Firefighting/Operating  Supplies</t>
  </si>
  <si>
    <t>Amended</t>
  </si>
  <si>
    <t>Assigned-Property Loss</t>
  </si>
  <si>
    <t>Retirement Health Savings</t>
  </si>
  <si>
    <t>200</t>
  </si>
  <si>
    <t>201</t>
  </si>
  <si>
    <t>2025-2026 GENERAL FUND PRELIMINARY BUDGET</t>
  </si>
  <si>
    <t>Computer Software and Maintenance</t>
  </si>
  <si>
    <t>Desktop</t>
  </si>
  <si>
    <t>Laptops</t>
  </si>
  <si>
    <t>Network laptop</t>
  </si>
  <si>
    <t>Firewall</t>
  </si>
  <si>
    <t>Gmail</t>
  </si>
  <si>
    <t>QB support</t>
  </si>
  <si>
    <t>Sage Fixed assets support</t>
  </si>
  <si>
    <t>Target Solutions</t>
  </si>
  <si>
    <t>Tenzinga</t>
  </si>
  <si>
    <t>Faxsipit</t>
  </si>
  <si>
    <t>Civic Plus</t>
  </si>
  <si>
    <t>Netmotion</t>
  </si>
  <si>
    <t>Mosyle</t>
  </si>
  <si>
    <t>Crash plan</t>
  </si>
  <si>
    <t>WBN</t>
  </si>
  <si>
    <t>Fuel cloud</t>
  </si>
  <si>
    <t>Verizon connect</t>
  </si>
  <si>
    <t>Monthly</t>
  </si>
  <si>
    <t>Annualy</t>
  </si>
  <si>
    <t>FirstNet</t>
  </si>
  <si>
    <t>Cell phone Admin (9)</t>
  </si>
  <si>
    <t>Cell phone Trucks (6)</t>
  </si>
  <si>
    <t>Computers (13)</t>
  </si>
  <si>
    <t>iPads (7)</t>
  </si>
  <si>
    <t>MIFI (1)</t>
  </si>
  <si>
    <t>34..99</t>
  </si>
  <si>
    <t>CenturyLink</t>
  </si>
  <si>
    <t>Zoom</t>
  </si>
  <si>
    <t>Comcst Business</t>
  </si>
  <si>
    <t>Sta 30</t>
  </si>
  <si>
    <t>Sta 31</t>
  </si>
  <si>
    <t>Sta 32</t>
  </si>
  <si>
    <t>Starlink</t>
  </si>
  <si>
    <t>Know B4</t>
  </si>
  <si>
    <t>Active 911</t>
  </si>
  <si>
    <t xml:space="preserve">Vector Solutions </t>
  </si>
  <si>
    <t xml:space="preserve">Streamline </t>
  </si>
  <si>
    <t>streamline to take over in FY26 - $1,188</t>
  </si>
  <si>
    <t>this will be removed in FY26? - $3,634</t>
  </si>
  <si>
    <t xml:space="preserve">FMC Global </t>
  </si>
  <si>
    <t>Archive Social</t>
  </si>
  <si>
    <t xml:space="preserve">First Arriving </t>
  </si>
  <si>
    <t>removed  - $3,005 quoted in FY26</t>
  </si>
  <si>
    <t>Power DMS (Planit)</t>
  </si>
  <si>
    <t xml:space="preserve">any updates on pricing for next year? </t>
  </si>
  <si>
    <t>some padding if oil prices remain the same</t>
  </si>
  <si>
    <t>Pest Control</t>
  </si>
  <si>
    <t>Lawncare</t>
  </si>
  <si>
    <t xml:space="preserve">HVAC </t>
  </si>
  <si>
    <t>Generators</t>
  </si>
  <si>
    <t>Actual Building Repairs/Maint.</t>
  </si>
  <si>
    <t>of this amount - $68K is recurring (lawn, inspections, maintenance packages, etc) Leaves us $62K for one time repairs.</t>
  </si>
  <si>
    <t>of this amount, $24K is recurring (i.e. testing, inspections, etc)</t>
  </si>
  <si>
    <t xml:space="preserve">Aerial Testing </t>
  </si>
  <si>
    <t xml:space="preserve">Pump Testing </t>
  </si>
  <si>
    <t xml:space="preserve">Portable &amp; Mobile Repairs </t>
  </si>
  <si>
    <t>R&amp;M Communication (Radios)</t>
  </si>
  <si>
    <t xml:space="preserve">Hose Repairs </t>
  </si>
  <si>
    <t xml:space="preserve">Hose Testing </t>
  </si>
  <si>
    <t xml:space="preserve">R&amp;M F.F. &amp; Rescue Equip -Hose </t>
  </si>
  <si>
    <t>Total: 66 Sets</t>
  </si>
  <si>
    <t xml:space="preserve">$80.00 each </t>
  </si>
  <si>
    <t xml:space="preserve">Bunker Gear Inspection &amp; Cleaning </t>
  </si>
  <si>
    <t xml:space="preserve">R&amp;M Bunker Gear </t>
  </si>
  <si>
    <t xml:space="preserve">Cascade Repairs </t>
  </si>
  <si>
    <t>Air Quality Test Program</t>
  </si>
  <si>
    <t xml:space="preserve">Semi-Annual Service </t>
  </si>
  <si>
    <t xml:space="preserve">R&amp;M CASCADE &amp; Air Qual Test </t>
  </si>
  <si>
    <t>HURST Rescue Tools Repair</t>
  </si>
  <si>
    <t>$235.00 each</t>
  </si>
  <si>
    <t xml:space="preserve">HURST Rescue Tools </t>
  </si>
  <si>
    <t xml:space="preserve">SCBA Repairs </t>
  </si>
  <si>
    <t>$50.00 each</t>
  </si>
  <si>
    <t xml:space="preserve">SCBA Flow Testing </t>
  </si>
  <si>
    <t xml:space="preserve">Ladder Repairs </t>
  </si>
  <si>
    <t xml:space="preserve">Ladder Testing </t>
  </si>
  <si>
    <t>R&amp;M FF. Rescue Equip</t>
  </si>
  <si>
    <t>Repair &amp; Maint Equip</t>
  </si>
  <si>
    <t xml:space="preserve">Turf Care, Edging, Shrubs, &amp; Fertilizer </t>
  </si>
  <si>
    <t>Lawn Care - Station 32</t>
  </si>
  <si>
    <t>Lawn Care - Station 31</t>
  </si>
  <si>
    <t>Lawn Care - Station 30</t>
  </si>
  <si>
    <t xml:space="preserve">Lawn Care </t>
  </si>
  <si>
    <t xml:space="preserve">Quarterly Service &amp; Bi-Annual Spider Treatment </t>
  </si>
  <si>
    <t>Pest Control - Station 32</t>
  </si>
  <si>
    <t>Pest Control - Station 31</t>
  </si>
  <si>
    <t>Pest Control - Station 30</t>
  </si>
  <si>
    <t xml:space="preserve">Pest Control </t>
  </si>
  <si>
    <t xml:space="preserve">Quarterly &amp; Annual Maintenance </t>
  </si>
  <si>
    <t>R&amp;M - HVAC - Station 32</t>
  </si>
  <si>
    <t>R&amp;M - HVAC - Station 31</t>
  </si>
  <si>
    <t>R&amp;M - HVAC - Station 30</t>
  </si>
  <si>
    <t xml:space="preserve">R&amp;M - HVAC Maintenance </t>
  </si>
  <si>
    <t>R&amp;M - Generators - STN 32</t>
  </si>
  <si>
    <t>R&amp;M - Generators - STN 30</t>
  </si>
  <si>
    <t>Repair &amp; Maint Generators</t>
  </si>
  <si>
    <t>Fuel Tanks - Annual Inspection</t>
  </si>
  <si>
    <t>Safe Air - Bi-Annual Cleaning &amp; Inspection</t>
  </si>
  <si>
    <t>Ice Machines - Bi-Annual Cleaning &amp; Inspection</t>
  </si>
  <si>
    <t xml:space="preserve">Fire Alarm Monitoring </t>
  </si>
  <si>
    <t>Fire Sprinklers - Quaterly &amp; Annual Inspection</t>
  </si>
  <si>
    <t>Kitchen Hood System - Service &amp; Inspection</t>
  </si>
  <si>
    <t xml:space="preserve">Fire Extinguishers Quarterly &amp; Annual Maintenance </t>
  </si>
  <si>
    <t xml:space="preserve">Chairlift - Annual Service &amp; Monitoring </t>
  </si>
  <si>
    <t xml:space="preserve">Elevator - Annual Service &amp; Monitoring </t>
  </si>
  <si>
    <t>R&amp;M BLDG-Station 32</t>
  </si>
  <si>
    <t xml:space="preserve">Fire Extinguishers - Annual Inspection </t>
  </si>
  <si>
    <t>R&amp;M BLDG-Station 31</t>
  </si>
  <si>
    <t>R&amp;M BLDG-Station 30</t>
  </si>
  <si>
    <t xml:space="preserve">Repair &amp; Maint Building </t>
  </si>
  <si>
    <t xml:space="preserve">Oxygen Cascade Cylinder Refilling System </t>
  </si>
  <si>
    <t xml:space="preserve">Oxygen Cylinders </t>
  </si>
  <si>
    <t>Total:</t>
  </si>
  <si>
    <t xml:space="preserve">Price: </t>
  </si>
  <si>
    <t>Quantity:</t>
  </si>
  <si>
    <t xml:space="preserve">Description: </t>
  </si>
  <si>
    <t xml:space="preserve">EMS Supplies </t>
  </si>
  <si>
    <t xml:space="preserve">RZ Filtration Mask </t>
  </si>
  <si>
    <t xml:space="preserve">Extrication Gloves </t>
  </si>
  <si>
    <t xml:space="preserve">Brush Gloves </t>
  </si>
  <si>
    <t xml:space="preserve">Brush Goggles </t>
  </si>
  <si>
    <t xml:space="preserve">Brush Helmet </t>
  </si>
  <si>
    <t xml:space="preserve">Structure Gloves </t>
  </si>
  <si>
    <t xml:space="preserve">Structure Boots </t>
  </si>
  <si>
    <t xml:space="preserve">Particulate Hood </t>
  </si>
  <si>
    <t xml:space="preserve">Structure Helmet </t>
  </si>
  <si>
    <t>Epic 3 Voice Amplifier:</t>
  </si>
  <si>
    <t xml:space="preserve">Size: Large </t>
  </si>
  <si>
    <t xml:space="preserve">Size: Medium </t>
  </si>
  <si>
    <t>Size: Small</t>
  </si>
  <si>
    <t xml:space="preserve">Spare SCBA Masks </t>
  </si>
  <si>
    <t xml:space="preserve">Brush Gear </t>
  </si>
  <si>
    <t>Price:</t>
  </si>
  <si>
    <t>Description:</t>
  </si>
  <si>
    <t>PPE (Non Capital)</t>
  </si>
  <si>
    <t xml:space="preserve">Scott 45 Minute Cylinders </t>
  </si>
  <si>
    <t xml:space="preserve">MSA 4 Gas Monitors </t>
  </si>
  <si>
    <t>Fire Equipment (Non Capital)</t>
  </si>
  <si>
    <t xml:space="preserve">ALS Meds </t>
  </si>
  <si>
    <t>Med Kits</t>
  </si>
  <si>
    <t>General ALS Supplies</t>
  </si>
  <si>
    <t>Intranet Project</t>
  </si>
  <si>
    <t>EPR Fireworks</t>
  </si>
  <si>
    <t>added $3K for ALS upgrade</t>
  </si>
  <si>
    <t>Could get away with only 5 iPads</t>
  </si>
  <si>
    <t>this will be purchased in FY25 possibly</t>
  </si>
  <si>
    <t>Target Solutions and Vector are one vendor (Vector Solutions)</t>
  </si>
  <si>
    <t xml:space="preserve">new </t>
  </si>
  <si>
    <t>Pediatric Emergency Standards (Handtevy)</t>
  </si>
  <si>
    <t>24-25 Budgeted Expenses - Travel &amp; Per Diem</t>
  </si>
  <si>
    <t>Conference</t>
  </si>
  <si>
    <t>Florida Fire &amp; EMS Conference</t>
  </si>
  <si>
    <t>FASD Annual Conference</t>
  </si>
  <si>
    <t>FASD Legislative</t>
  </si>
  <si>
    <t>FDIC</t>
  </si>
  <si>
    <t>FT Lauderdale Fire Conf</t>
  </si>
  <si>
    <t>FFCA Ex Dev</t>
  </si>
  <si>
    <t>Orlando Fire Conf</t>
  </si>
  <si>
    <t>Total</t>
  </si>
  <si>
    <t>FY26 Budget</t>
  </si>
  <si>
    <t>5 nights, 6 people, $350/night, no meals/incidentals</t>
  </si>
  <si>
    <t>3 nights, 3 flights - $600 per flight, 3 people, $350/night, plus meals and incidentals</t>
  </si>
  <si>
    <t>4 nights, 5 people, $350/night, plus meals and incidentals</t>
  </si>
  <si>
    <t>3 nights 4 people - $350/night, plus meals and incidentals</t>
  </si>
  <si>
    <t>Based on Chief Choate's anticipated travel to Tallahassee</t>
  </si>
  <si>
    <t>Florida Health/Safety</t>
  </si>
  <si>
    <t>2 nights, 4 people, $350/night, plus meals and incidentals</t>
  </si>
  <si>
    <t>5 nights, 4 people, $350/night,  plus meals and incidentals</t>
  </si>
  <si>
    <t>3 nights, 4 people, $350/night, plus meals and incidentals</t>
  </si>
  <si>
    <t>Commissioners Travel</t>
  </si>
  <si>
    <t>FY25 - expensed a total of $7,000 for 3 commissioners</t>
  </si>
  <si>
    <t>Fire Rescue International (IAFC)</t>
  </si>
  <si>
    <t>3 nights, 2 people, $350/night, plus meals and incidentals</t>
  </si>
  <si>
    <t>$ Variance</t>
  </si>
  <si>
    <t>% Variance</t>
  </si>
  <si>
    <t>District has identified certain areas where improvements and efficiencies can be made resulting an in increase to computer software costs. This includes a new intranet system, new truck check and staffing program, and making our website ADA compliant.</t>
  </si>
  <si>
    <t xml:space="preserve">The District is seeking more educational opportunities and classes. Increase also takes into account nominal inflation increase. </t>
  </si>
  <si>
    <t>Capital Outlay</t>
  </si>
  <si>
    <t>Equipment - Grant Match</t>
  </si>
  <si>
    <t xml:space="preserve">FF Rescue Equipment </t>
  </si>
  <si>
    <t>Units</t>
  </si>
  <si>
    <t>Cost</t>
  </si>
  <si>
    <t>Scott RIT Pack III</t>
  </si>
  <si>
    <t>PPE</t>
  </si>
  <si>
    <t xml:space="preserve">Bunker Gear </t>
  </si>
  <si>
    <t xml:space="preserve">6 Sets </t>
  </si>
  <si>
    <t>Training Equipment</t>
  </si>
  <si>
    <t>AED's</t>
  </si>
  <si>
    <t>Smoke Generator</t>
  </si>
  <si>
    <t>Med. Props</t>
  </si>
  <si>
    <t>includes RIT Paks and AED's</t>
  </si>
  <si>
    <t>6 sets of Bunker gear needed for personnel</t>
  </si>
  <si>
    <t xml:space="preserve">IT Server replacement if needed. </t>
  </si>
  <si>
    <t>District made a large principal payment of debt with the proceeds from sale of Station 30</t>
  </si>
  <si>
    <t xml:space="preserve">Salaries include all shift on NCFR Pay scale, 3 new FTE Firefighters, and 1 Admin Position (full year salary). Non Bargaining members (non shift) include 3% COLA increase. Includes Patterson full year salary. </t>
  </si>
  <si>
    <t xml:space="preserve">Interest rates have remained consistent during FY25. Rates seem to be steady so with the increase in ad valorem, keeping the interest the same as last year is a conservative approach. </t>
  </si>
  <si>
    <t xml:space="preserve">This amount is unknown each year. However, the District received $202K for a period covering only 7 months. Increasing this by only $20K is reasonable and conservative. </t>
  </si>
  <si>
    <t xml:space="preserve">District does not anticipate any large reimbursements in FY26. </t>
  </si>
  <si>
    <t>No significant changes other than cost of supplies going up to be reimbursed</t>
  </si>
  <si>
    <t xml:space="preserve">District calculates receiving $1.4M more in FY26. District has had a positive collection rate and anticipates receiving slightly more than this but would be conservative to budget this amount. </t>
  </si>
  <si>
    <t>As a result of an increase in classes and conferences, travel will also increase slightly</t>
  </si>
  <si>
    <t>Budget FY25</t>
  </si>
  <si>
    <t>Budget FY26</t>
  </si>
  <si>
    <t>50,000 at 3%, balance at 2%</t>
  </si>
  <si>
    <t xml:space="preserve">Per grant, COVID vehicle total cost was $80K with a useful life of 10 years. Beginning FY23, District needs to put $8K per year into reserves each year until we have a total full replacement cost. </t>
  </si>
  <si>
    <t xml:space="preserve">Per grant for gym equipment Station 30 - total cost was $97K with a useful life of 10 years. Beginning FY23, District needs  to put in $9,700 per year into reserves each year until we have total cost of replacement. </t>
  </si>
  <si>
    <t>includes smoke generator and medical props, removed trailer</t>
  </si>
  <si>
    <t xml:space="preserve">W/C went up to $142K per latest proposal. District re-allocated $10K between Health Insurance and W/C. </t>
  </si>
  <si>
    <t>Tentative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</si>
</sst>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[Red]_(* \(#,##0\);_(* &quot;-&quot;_);_(@_)"/>
    <numFmt numFmtId="165" formatCode="_(&quot;$&quot;* #,##0.0_);_(&quot;$&quot;* \(#,##0.0\);_(&quot;$&quot;* &quot;-&quot;?_);_(@_)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b/>
      <u val="singleAccounting"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u val="singleAccounting"/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</font>
    <font>
      <b/>
      <sz val="11"/>
      <color rgb="FFFF00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44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3" fillId="0" borderId="0"/>
    <xf numFmtId="9" fontId="46" fillId="0" borderId="0" applyFont="0" applyFill="0" applyBorder="0" applyAlignment="0" applyProtection="0"/>
  </cellStyleXfs>
  <cellXfs count="180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24" fillId="0" borderId="0" xfId="0" applyFont="1"/>
    <xf numFmtId="0" fontId="23" fillId="0" borderId="0" xfId="0" applyFont="1" applyAlignment="1">
      <alignment horizontal="center"/>
    </xf>
    <xf numFmtId="0" fontId="23" fillId="0" borderId="0" xfId="0" applyFont="1"/>
    <xf numFmtId="49" fontId="24" fillId="0" borderId="0" xfId="0" applyNumberFormat="1" applyFont="1"/>
    <xf numFmtId="164" fontId="24" fillId="0" borderId="0" xfId="28" applyNumberFormat="1" applyFont="1" applyBorder="1"/>
    <xf numFmtId="164" fontId="24" fillId="0" borderId="0" xfId="28" applyNumberFormat="1" applyFont="1" applyBorder="1" applyAlignment="1">
      <alignment horizontal="center"/>
    </xf>
    <xf numFmtId="164" fontId="24" fillId="0" borderId="0" xfId="28" quotePrefix="1" applyNumberFormat="1" applyFont="1" applyFill="1" applyBorder="1" applyAlignment="1">
      <alignment horizontal="center"/>
    </xf>
    <xf numFmtId="49" fontId="23" fillId="0" borderId="0" xfId="0" applyNumberFormat="1" applyFont="1"/>
    <xf numFmtId="41" fontId="23" fillId="0" borderId="0" xfId="28" applyNumberFormat="1" applyFont="1" applyBorder="1"/>
    <xf numFmtId="164" fontId="23" fillId="0" borderId="0" xfId="28" applyNumberFormat="1" applyFont="1" applyBorder="1"/>
    <xf numFmtId="41" fontId="24" fillId="0" borderId="0" xfId="28" applyNumberFormat="1" applyFont="1" applyFill="1" applyBorder="1"/>
    <xf numFmtId="41" fontId="24" fillId="0" borderId="0" xfId="28" applyNumberFormat="1" applyFont="1" applyBorder="1"/>
    <xf numFmtId="0" fontId="24" fillId="0" borderId="0" xfId="0" applyFont="1" applyAlignment="1">
      <alignment horizontal="right"/>
    </xf>
    <xf numFmtId="164" fontId="24" fillId="0" borderId="10" xfId="28" quotePrefix="1" applyNumberFormat="1" applyFont="1" applyFill="1" applyBorder="1" applyAlignment="1">
      <alignment horizontal="center"/>
    </xf>
    <xf numFmtId="41" fontId="23" fillId="0" borderId="10" xfId="28" applyNumberFormat="1" applyFont="1" applyBorder="1"/>
    <xf numFmtId="41" fontId="24" fillId="0" borderId="10" xfId="28" applyNumberFormat="1" applyFont="1" applyFill="1" applyBorder="1"/>
    <xf numFmtId="41" fontId="24" fillId="0" borderId="10" xfId="28" applyNumberFormat="1" applyFont="1" applyBorder="1"/>
    <xf numFmtId="164" fontId="23" fillId="0" borderId="10" xfId="28" applyNumberFormat="1" applyFont="1" applyBorder="1"/>
    <xf numFmtId="0" fontId="24" fillId="24" borderId="0" xfId="0" applyFont="1" applyFill="1" applyAlignment="1">
      <alignment horizontal="center"/>
    </xf>
    <xf numFmtId="49" fontId="29" fillId="24" borderId="0" xfId="0" applyNumberFormat="1" applyFont="1" applyFill="1"/>
    <xf numFmtId="0" fontId="29" fillId="24" borderId="0" xfId="0" applyFont="1" applyFill="1"/>
    <xf numFmtId="164" fontId="29" fillId="24" borderId="10" xfId="28" quotePrefix="1" applyNumberFormat="1" applyFont="1" applyFill="1" applyBorder="1" applyAlignment="1">
      <alignment horizontal="center"/>
    </xf>
    <xf numFmtId="0" fontId="29" fillId="24" borderId="0" xfId="0" applyFont="1" applyFill="1" applyAlignment="1">
      <alignment horizontal="center"/>
    </xf>
    <xf numFmtId="164" fontId="29" fillId="24" borderId="0" xfId="28" quotePrefix="1" applyNumberFormat="1" applyFont="1" applyFill="1" applyBorder="1" applyAlignment="1">
      <alignment horizontal="center"/>
    </xf>
    <xf numFmtId="49" fontId="30" fillId="24" borderId="0" xfId="0" applyNumberFormat="1" applyFont="1" applyFill="1" applyAlignment="1">
      <alignment horizontal="center"/>
    </xf>
    <xf numFmtId="0" fontId="30" fillId="24" borderId="0" xfId="0" applyFont="1" applyFill="1" applyAlignment="1">
      <alignment horizontal="center"/>
    </xf>
    <xf numFmtId="164" fontId="29" fillId="24" borderId="10" xfId="28" applyNumberFormat="1" applyFont="1" applyFill="1" applyBorder="1" applyAlignment="1">
      <alignment horizontal="center"/>
    </xf>
    <xf numFmtId="164" fontId="29" fillId="24" borderId="0" xfId="28" applyNumberFormat="1" applyFont="1" applyFill="1" applyBorder="1" applyAlignment="1">
      <alignment horizontal="center"/>
    </xf>
    <xf numFmtId="10" fontId="24" fillId="0" borderId="0" xfId="28" applyNumberFormat="1" applyFont="1" applyFill="1" applyBorder="1"/>
    <xf numFmtId="10" fontId="24" fillId="0" borderId="0" xfId="28" applyNumberFormat="1" applyFont="1" applyFill="1" applyBorder="1" applyAlignment="1">
      <alignment horizontal="center"/>
    </xf>
    <xf numFmtId="10" fontId="29" fillId="24" borderId="0" xfId="28" applyNumberFormat="1" applyFont="1" applyFill="1" applyBorder="1"/>
    <xf numFmtId="10" fontId="29" fillId="24" borderId="0" xfId="0" applyNumberFormat="1" applyFont="1" applyFill="1" applyAlignment="1">
      <alignment horizontal="center"/>
    </xf>
    <xf numFmtId="10" fontId="27" fillId="0" borderId="0" xfId="0" applyNumberFormat="1" applyFont="1" applyAlignment="1">
      <alignment horizontal="center"/>
    </xf>
    <xf numFmtId="10" fontId="28" fillId="0" borderId="0" xfId="0" applyNumberFormat="1" applyFont="1" applyAlignment="1">
      <alignment horizontal="center"/>
    </xf>
    <xf numFmtId="10" fontId="23" fillId="0" borderId="0" xfId="28" applyNumberFormat="1" applyFont="1" applyFill="1" applyBorder="1"/>
    <xf numFmtId="10" fontId="25" fillId="0" borderId="0" xfId="28" applyNumberFormat="1" applyFont="1" applyFill="1" applyBorder="1"/>
    <xf numFmtId="43" fontId="32" fillId="24" borderId="0" xfId="0" applyNumberFormat="1" applyFont="1" applyFill="1" applyAlignment="1">
      <alignment horizontal="center"/>
    </xf>
    <xf numFmtId="49" fontId="23" fillId="25" borderId="0" xfId="0" applyNumberFormat="1" applyFont="1" applyFill="1"/>
    <xf numFmtId="0" fontId="23" fillId="25" borderId="0" xfId="0" applyFont="1" applyFill="1"/>
    <xf numFmtId="42" fontId="23" fillId="25" borderId="10" xfId="28" applyNumberFormat="1" applyFont="1" applyFill="1" applyBorder="1"/>
    <xf numFmtId="42" fontId="23" fillId="25" borderId="0" xfId="28" applyNumberFormat="1" applyFont="1" applyFill="1" applyBorder="1"/>
    <xf numFmtId="41" fontId="23" fillId="25" borderId="10" xfId="28" applyNumberFormat="1" applyFont="1" applyFill="1" applyBorder="1"/>
    <xf numFmtId="41" fontId="23" fillId="25" borderId="0" xfId="28" applyNumberFormat="1" applyFont="1" applyFill="1" applyBorder="1"/>
    <xf numFmtId="41" fontId="25" fillId="25" borderId="10" xfId="28" applyNumberFormat="1" applyFont="1" applyFill="1" applyBorder="1"/>
    <xf numFmtId="41" fontId="25" fillId="25" borderId="0" xfId="28" applyNumberFormat="1" applyFont="1" applyFill="1" applyBorder="1"/>
    <xf numFmtId="41" fontId="24" fillId="24" borderId="10" xfId="28" applyNumberFormat="1" applyFont="1" applyFill="1" applyBorder="1"/>
    <xf numFmtId="41" fontId="24" fillId="24" borderId="0" xfId="28" applyNumberFormat="1" applyFont="1" applyFill="1" applyBorder="1"/>
    <xf numFmtId="41" fontId="29" fillId="24" borderId="10" xfId="28" applyNumberFormat="1" applyFont="1" applyFill="1" applyBorder="1"/>
    <xf numFmtId="41" fontId="29" fillId="24" borderId="0" xfId="28" applyNumberFormat="1" applyFont="1" applyFill="1" applyBorder="1"/>
    <xf numFmtId="49" fontId="29" fillId="24" borderId="0" xfId="0" applyNumberFormat="1" applyFont="1" applyFill="1" applyAlignment="1">
      <alignment horizontal="center"/>
    </xf>
    <xf numFmtId="49" fontId="23" fillId="25" borderId="0" xfId="0" quotePrefix="1" applyNumberFormat="1" applyFont="1" applyFill="1"/>
    <xf numFmtId="49" fontId="24" fillId="0" borderId="0" xfId="0" applyNumberFormat="1" applyFont="1" applyAlignment="1">
      <alignment horizontal="center"/>
    </xf>
    <xf numFmtId="43" fontId="25" fillId="0" borderId="0" xfId="0" applyNumberFormat="1" applyFont="1" applyAlignment="1">
      <alignment horizontal="center"/>
    </xf>
    <xf numFmtId="49" fontId="23" fillId="0" borderId="0" xfId="0" applyNumberFormat="1" applyFont="1" applyAlignment="1">
      <alignment horizontal="center"/>
    </xf>
    <xf numFmtId="43" fontId="26" fillId="0" borderId="0" xfId="0" applyNumberFormat="1" applyFont="1" applyAlignment="1">
      <alignment horizontal="center"/>
    </xf>
    <xf numFmtId="164" fontId="23" fillId="0" borderId="10" xfId="28" quotePrefix="1" applyNumberFormat="1" applyFont="1" applyFill="1" applyBorder="1" applyAlignment="1">
      <alignment horizontal="center"/>
    </xf>
    <xf numFmtId="164" fontId="23" fillId="0" borderId="0" xfId="28" quotePrefix="1" applyNumberFormat="1" applyFont="1" applyFill="1" applyBorder="1" applyAlignment="1">
      <alignment horizontal="center"/>
    </xf>
    <xf numFmtId="41" fontId="30" fillId="24" borderId="10" xfId="28" applyNumberFormat="1" applyFont="1" applyFill="1" applyBorder="1"/>
    <xf numFmtId="41" fontId="30" fillId="24" borderId="0" xfId="28" applyNumberFormat="1" applyFont="1" applyFill="1" applyBorder="1"/>
    <xf numFmtId="41" fontId="26" fillId="24" borderId="0" xfId="28" applyNumberFormat="1" applyFont="1" applyFill="1" applyBorder="1"/>
    <xf numFmtId="0" fontId="29" fillId="24" borderId="0" xfId="0" applyFont="1" applyFill="1" applyAlignment="1">
      <alignment horizontal="right"/>
    </xf>
    <xf numFmtId="41" fontId="32" fillId="24" borderId="10" xfId="28" applyNumberFormat="1" applyFont="1" applyFill="1" applyBorder="1"/>
    <xf numFmtId="41" fontId="32" fillId="24" borderId="0" xfId="28" applyNumberFormat="1" applyFont="1" applyFill="1" applyBorder="1"/>
    <xf numFmtId="49" fontId="24" fillId="25" borderId="0" xfId="0" applyNumberFormat="1" applyFont="1" applyFill="1"/>
    <xf numFmtId="0" fontId="23" fillId="25" borderId="0" xfId="0" applyFont="1" applyFill="1" applyAlignment="1">
      <alignment horizontal="left"/>
    </xf>
    <xf numFmtId="41" fontId="24" fillId="25" borderId="10" xfId="28" applyNumberFormat="1" applyFont="1" applyFill="1" applyBorder="1"/>
    <xf numFmtId="41" fontId="24" fillId="25" borderId="0" xfId="28" applyNumberFormat="1" applyFont="1" applyFill="1" applyBorder="1"/>
    <xf numFmtId="164" fontId="23" fillId="25" borderId="0" xfId="28" applyNumberFormat="1" applyFont="1" applyFill="1" applyBorder="1"/>
    <xf numFmtId="0" fontId="24" fillId="25" borderId="0" xfId="0" applyFont="1" applyFill="1" applyAlignment="1">
      <alignment horizontal="left"/>
    </xf>
    <xf numFmtId="0" fontId="29" fillId="24" borderId="0" xfId="0" applyFont="1" applyFill="1" applyAlignment="1">
      <alignment horizontal="left"/>
    </xf>
    <xf numFmtId="164" fontId="23" fillId="25" borderId="10" xfId="28" applyNumberFormat="1" applyFont="1" applyFill="1" applyBorder="1"/>
    <xf numFmtId="41" fontId="28" fillId="25" borderId="10" xfId="28" applyNumberFormat="1" applyFont="1" applyFill="1" applyBorder="1"/>
    <xf numFmtId="42" fontId="29" fillId="24" borderId="10" xfId="28" applyNumberFormat="1" applyFont="1" applyFill="1" applyBorder="1"/>
    <xf numFmtId="42" fontId="29" fillId="24" borderId="0" xfId="28" applyNumberFormat="1" applyFont="1" applyFill="1" applyBorder="1"/>
    <xf numFmtId="42" fontId="30" fillId="24" borderId="0" xfId="28" applyNumberFormat="1" applyFont="1" applyFill="1" applyBorder="1"/>
    <xf numFmtId="49" fontId="29" fillId="26" borderId="0" xfId="0" applyNumberFormat="1" applyFont="1" applyFill="1"/>
    <xf numFmtId="0" fontId="29" fillId="26" borderId="0" xfId="0" applyFont="1" applyFill="1" applyAlignment="1">
      <alignment horizontal="right"/>
    </xf>
    <xf numFmtId="41" fontId="24" fillId="26" borderId="10" xfId="28" applyNumberFormat="1" applyFont="1" applyFill="1" applyBorder="1"/>
    <xf numFmtId="41" fontId="24" fillId="26" borderId="0" xfId="28" applyNumberFormat="1" applyFont="1" applyFill="1" applyBorder="1"/>
    <xf numFmtId="0" fontId="24" fillId="26" borderId="0" xfId="0" applyFont="1" applyFill="1" applyAlignment="1">
      <alignment horizontal="right"/>
    </xf>
    <xf numFmtId="42" fontId="24" fillId="0" borderId="0" xfId="28" applyNumberFormat="1" applyFont="1" applyFill="1" applyBorder="1"/>
    <xf numFmtId="42" fontId="24" fillId="0" borderId="0" xfId="28" applyNumberFormat="1" applyFont="1" applyFill="1" applyBorder="1" applyAlignment="1">
      <alignment horizontal="center"/>
    </xf>
    <xf numFmtId="42" fontId="23" fillId="0" borderId="10" xfId="28" applyNumberFormat="1" applyFont="1" applyFill="1" applyBorder="1"/>
    <xf numFmtId="42" fontId="29" fillId="24" borderId="13" xfId="0" applyNumberFormat="1" applyFont="1" applyFill="1" applyBorder="1" applyAlignment="1">
      <alignment horizontal="center"/>
    </xf>
    <xf numFmtId="42" fontId="27" fillId="0" borderId="13" xfId="0" applyNumberFormat="1" applyFont="1" applyBorder="1" applyAlignment="1">
      <alignment horizontal="center"/>
    </xf>
    <xf numFmtId="42" fontId="28" fillId="0" borderId="13" xfId="0" applyNumberFormat="1" applyFont="1" applyBorder="1" applyAlignment="1">
      <alignment horizontal="center"/>
    </xf>
    <xf numFmtId="42" fontId="33" fillId="24" borderId="13" xfId="0" applyNumberFormat="1" applyFont="1" applyFill="1" applyBorder="1" applyAlignment="1">
      <alignment horizontal="center"/>
    </xf>
    <xf numFmtId="42" fontId="23" fillId="0" borderId="13" xfId="28" applyNumberFormat="1" applyFont="1" applyFill="1" applyBorder="1"/>
    <xf numFmtId="42" fontId="30" fillId="24" borderId="13" xfId="28" applyNumberFormat="1" applyFont="1" applyFill="1" applyBorder="1"/>
    <xf numFmtId="42" fontId="29" fillId="24" borderId="13" xfId="28" applyNumberFormat="1" applyFont="1" applyFill="1" applyBorder="1"/>
    <xf numFmtId="42" fontId="24" fillId="0" borderId="13" xfId="28" applyNumberFormat="1" applyFont="1" applyFill="1" applyBorder="1"/>
    <xf numFmtId="42" fontId="24" fillId="26" borderId="13" xfId="28" applyNumberFormat="1" applyFont="1" applyFill="1" applyBorder="1"/>
    <xf numFmtId="42" fontId="24" fillId="25" borderId="13" xfId="28" applyNumberFormat="1" applyFont="1" applyFill="1" applyBorder="1"/>
    <xf numFmtId="42" fontId="29" fillId="26" borderId="13" xfId="0" applyNumberFormat="1" applyFont="1" applyFill="1" applyBorder="1"/>
    <xf numFmtId="42" fontId="23" fillId="0" borderId="14" xfId="28" applyNumberFormat="1" applyFont="1" applyFill="1" applyBorder="1"/>
    <xf numFmtId="42" fontId="23" fillId="25" borderId="13" xfId="28" applyNumberFormat="1" applyFont="1" applyFill="1" applyBorder="1"/>
    <xf numFmtId="42" fontId="29" fillId="24" borderId="13" xfId="28" applyNumberFormat="1" applyFont="1" applyFill="1" applyBorder="1" applyAlignment="1">
      <alignment horizontal="center"/>
    </xf>
    <xf numFmtId="42" fontId="29" fillId="26" borderId="13" xfId="28" applyNumberFormat="1" applyFont="1" applyFill="1" applyBorder="1"/>
    <xf numFmtId="42" fontId="29" fillId="24" borderId="12" xfId="28" applyNumberFormat="1" applyFont="1" applyFill="1" applyBorder="1" applyAlignment="1">
      <alignment horizontal="center"/>
    </xf>
    <xf numFmtId="42" fontId="29" fillId="24" borderId="12" xfId="28" quotePrefix="1" applyNumberFormat="1" applyFont="1" applyFill="1" applyBorder="1" applyAlignment="1">
      <alignment horizontal="center"/>
    </xf>
    <xf numFmtId="44" fontId="0" fillId="0" borderId="0" xfId="0" applyNumberFormat="1"/>
    <xf numFmtId="165" fontId="0" fillId="0" borderId="0" xfId="0" applyNumberFormat="1"/>
    <xf numFmtId="42" fontId="0" fillId="0" borderId="0" xfId="0" applyNumberFormat="1"/>
    <xf numFmtId="165" fontId="23" fillId="0" borderId="0" xfId="0" applyNumberFormat="1" applyFont="1"/>
    <xf numFmtId="42" fontId="5" fillId="0" borderId="0" xfId="0" applyNumberFormat="1" applyFont="1"/>
    <xf numFmtId="44" fontId="0" fillId="0" borderId="0" xfId="28" applyFont="1"/>
    <xf numFmtId="44" fontId="0" fillId="0" borderId="15" xfId="28" applyFont="1" applyBorder="1"/>
    <xf numFmtId="43" fontId="0" fillId="0" borderId="0" xfId="0" applyNumberFormat="1"/>
    <xf numFmtId="44" fontId="37" fillId="0" borderId="0" xfId="28" applyFont="1"/>
    <xf numFmtId="44" fontId="0" fillId="0" borderId="0" xfId="28" applyFont="1" applyAlignment="1">
      <alignment horizontal="right"/>
    </xf>
    <xf numFmtId="0" fontId="0" fillId="27" borderId="0" xfId="0" applyFill="1"/>
    <xf numFmtId="0" fontId="38" fillId="0" borderId="0" xfId="0" applyFont="1"/>
    <xf numFmtId="42" fontId="31" fillId="0" borderId="10" xfId="28" applyNumberFormat="1" applyFont="1" applyFill="1" applyBorder="1"/>
    <xf numFmtId="0" fontId="4" fillId="0" borderId="0" xfId="0" applyFont="1"/>
    <xf numFmtId="0" fontId="39" fillId="0" borderId="0" xfId="0" applyFont="1"/>
    <xf numFmtId="44" fontId="5" fillId="0" borderId="0" xfId="0" applyNumberFormat="1" applyFont="1"/>
    <xf numFmtId="0" fontId="3" fillId="0" borderId="0" xfId="43"/>
    <xf numFmtId="8" fontId="3" fillId="0" borderId="16" xfId="43" applyNumberFormat="1" applyBorder="1"/>
    <xf numFmtId="0" fontId="3" fillId="0" borderId="16" xfId="43" applyBorder="1"/>
    <xf numFmtId="8" fontId="3" fillId="0" borderId="0" xfId="43" applyNumberFormat="1"/>
    <xf numFmtId="0" fontId="3" fillId="0" borderId="18" xfId="43" applyBorder="1"/>
    <xf numFmtId="0" fontId="37" fillId="0" borderId="0" xfId="43" applyFont="1"/>
    <xf numFmtId="0" fontId="37" fillId="0" borderId="16" xfId="43" applyFont="1" applyBorder="1"/>
    <xf numFmtId="0" fontId="2" fillId="0" borderId="0" xfId="43" applyFont="1"/>
    <xf numFmtId="42" fontId="23" fillId="0" borderId="0" xfId="28" applyNumberFormat="1" applyFont="1" applyFill="1" applyBorder="1"/>
    <xf numFmtId="42" fontId="24" fillId="26" borderId="0" xfId="28" applyNumberFormat="1" applyFont="1" applyFill="1" applyBorder="1"/>
    <xf numFmtId="42" fontId="24" fillId="25" borderId="0" xfId="28" applyNumberFormat="1" applyFont="1" applyFill="1" applyBorder="1"/>
    <xf numFmtId="42" fontId="29" fillId="26" borderId="0" xfId="0" applyNumberFormat="1" applyFont="1" applyFill="1"/>
    <xf numFmtId="9" fontId="23" fillId="25" borderId="0" xfId="28" applyNumberFormat="1" applyFont="1" applyFill="1" applyBorder="1"/>
    <xf numFmtId="9" fontId="29" fillId="24" borderId="0" xfId="28" applyNumberFormat="1" applyFont="1" applyFill="1" applyBorder="1"/>
    <xf numFmtId="0" fontId="0" fillId="28" borderId="0" xfId="0" applyFill="1"/>
    <xf numFmtId="43" fontId="4" fillId="0" borderId="0" xfId="0" applyNumberFormat="1" applyFont="1"/>
    <xf numFmtId="0" fontId="38" fillId="29" borderId="0" xfId="0" applyFont="1" applyFill="1"/>
    <xf numFmtId="44" fontId="0" fillId="29" borderId="0" xfId="28" applyFont="1" applyFill="1"/>
    <xf numFmtId="0" fontId="37" fillId="0" borderId="16" xfId="0" applyFont="1" applyBorder="1"/>
    <xf numFmtId="0" fontId="0" fillId="0" borderId="16" xfId="0" applyBorder="1"/>
    <xf numFmtId="44" fontId="0" fillId="0" borderId="16" xfId="0" applyNumberFormat="1" applyBorder="1"/>
    <xf numFmtId="0" fontId="0" fillId="0" borderId="16" xfId="0" applyBorder="1" applyAlignment="1">
      <alignment horizontal="left"/>
    </xf>
    <xf numFmtId="0" fontId="40" fillId="0" borderId="16" xfId="0" applyFont="1" applyBorder="1" applyAlignment="1">
      <alignment horizontal="left" vertical="top"/>
    </xf>
    <xf numFmtId="44" fontId="41" fillId="0" borderId="16" xfId="0" applyNumberFormat="1" applyFont="1" applyBorder="1" applyAlignment="1">
      <alignment horizontal="left" vertical="top"/>
    </xf>
    <xf numFmtId="0" fontId="41" fillId="0" borderId="16" xfId="0" applyFont="1" applyBorder="1" applyAlignment="1">
      <alignment horizontal="left" vertical="top"/>
    </xf>
    <xf numFmtId="44" fontId="37" fillId="0" borderId="16" xfId="0" applyNumberFormat="1" applyFont="1" applyBorder="1"/>
    <xf numFmtId="0" fontId="37" fillId="0" borderId="16" xfId="0" applyFont="1" applyBorder="1" applyAlignment="1">
      <alignment horizontal="left"/>
    </xf>
    <xf numFmtId="44" fontId="40" fillId="0" borderId="16" xfId="0" applyNumberFormat="1" applyFont="1" applyBorder="1" applyAlignment="1">
      <alignment horizontal="left" vertical="top"/>
    </xf>
    <xf numFmtId="14" fontId="0" fillId="0" borderId="16" xfId="0" applyNumberFormat="1" applyBorder="1" applyAlignment="1">
      <alignment horizontal="left"/>
    </xf>
    <xf numFmtId="15" fontId="0" fillId="0" borderId="16" xfId="0" applyNumberFormat="1" applyBorder="1"/>
    <xf numFmtId="0" fontId="42" fillId="0" borderId="16" xfId="0" applyFont="1" applyBorder="1"/>
    <xf numFmtId="14" fontId="42" fillId="0" borderId="16" xfId="0" applyNumberFormat="1" applyFont="1" applyBorder="1"/>
    <xf numFmtId="44" fontId="42" fillId="0" borderId="16" xfId="0" applyNumberFormat="1" applyFont="1" applyBorder="1"/>
    <xf numFmtId="0" fontId="43" fillId="0" borderId="16" xfId="0" applyFont="1" applyBorder="1"/>
    <xf numFmtId="44" fontId="43" fillId="0" borderId="16" xfId="0" applyNumberFormat="1" applyFont="1" applyBorder="1"/>
    <xf numFmtId="0" fontId="37" fillId="0" borderId="16" xfId="0" applyFont="1" applyBorder="1" applyAlignment="1">
      <alignment horizontal="center"/>
    </xf>
    <xf numFmtId="0" fontId="44" fillId="0" borderId="0" xfId="43" applyFont="1"/>
    <xf numFmtId="0" fontId="45" fillId="0" borderId="0" xfId="43" applyFont="1"/>
    <xf numFmtId="0" fontId="1" fillId="0" borderId="0" xfId="43" applyFont="1"/>
    <xf numFmtId="43" fontId="3" fillId="0" borderId="0" xfId="43" applyNumberFormat="1"/>
    <xf numFmtId="0" fontId="1" fillId="0" borderId="16" xfId="43" applyFont="1" applyBorder="1"/>
    <xf numFmtId="8" fontId="37" fillId="0" borderId="0" xfId="43" applyNumberFormat="1" applyFont="1"/>
    <xf numFmtId="44" fontId="39" fillId="0" borderId="0" xfId="0" applyNumberFormat="1" applyFont="1"/>
    <xf numFmtId="44" fontId="23" fillId="0" borderId="0" xfId="0" applyNumberFormat="1" applyFont="1" applyAlignment="1">
      <alignment horizontal="center"/>
    </xf>
    <xf numFmtId="44" fontId="0" fillId="0" borderId="0" xfId="0" applyNumberFormat="1" applyAlignment="1">
      <alignment horizontal="center"/>
    </xf>
    <xf numFmtId="0" fontId="39" fillId="0" borderId="11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4" fillId="24" borderId="0" xfId="0" applyFont="1" applyFill="1" applyAlignment="1">
      <alignment horizontal="center"/>
    </xf>
    <xf numFmtId="0" fontId="37" fillId="0" borderId="19" xfId="43" applyFont="1" applyBorder="1" applyAlignment="1">
      <alignment horizontal="left"/>
    </xf>
    <xf numFmtId="0" fontId="37" fillId="0" borderId="18" xfId="43" applyFont="1" applyBorder="1" applyAlignment="1">
      <alignment horizontal="left"/>
    </xf>
    <xf numFmtId="0" fontId="37" fillId="0" borderId="17" xfId="43" applyFont="1" applyBorder="1" applyAlignment="1">
      <alignment horizontal="left"/>
    </xf>
    <xf numFmtId="0" fontId="37" fillId="0" borderId="16" xfId="43" applyFont="1" applyBorder="1" applyAlignment="1">
      <alignment horizontal="center"/>
    </xf>
    <xf numFmtId="0" fontId="3" fillId="0" borderId="19" xfId="43" applyBorder="1" applyAlignment="1">
      <alignment horizontal="center"/>
    </xf>
    <xf numFmtId="0" fontId="3" fillId="0" borderId="18" xfId="43" applyBorder="1" applyAlignment="1">
      <alignment horizontal="center"/>
    </xf>
    <xf numFmtId="0" fontId="3" fillId="0" borderId="17" xfId="43" applyBorder="1" applyAlignment="1">
      <alignment horizontal="center"/>
    </xf>
    <xf numFmtId="0" fontId="37" fillId="0" borderId="16" xfId="43" applyFont="1" applyBorder="1" applyAlignment="1">
      <alignment horizontal="left"/>
    </xf>
    <xf numFmtId="0" fontId="3" fillId="0" borderId="20" xfId="43" applyBorder="1" applyAlignment="1">
      <alignment horizontal="center"/>
    </xf>
    <xf numFmtId="0" fontId="37" fillId="0" borderId="0" xfId="43" applyFont="1" applyAlignment="1">
      <alignment horizontal="center"/>
    </xf>
    <xf numFmtId="42" fontId="23" fillId="0" borderId="0" xfId="0" applyNumberFormat="1" applyFont="1"/>
    <xf numFmtId="9" fontId="47" fillId="0" borderId="0" xfId="44" applyFont="1"/>
    <xf numFmtId="42" fontId="24" fillId="0" borderId="0" xfId="0" applyNumberFormat="1" applyFo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43" xr:uid="{B43F825B-37D6-48D4-8B97-5702203ADAAA}"/>
    <cellStyle name="Note" xfId="38" builtinId="10" customBuiltin="1"/>
    <cellStyle name="Output" xfId="39" builtinId="21" customBuiltin="1"/>
    <cellStyle name="Percent" xfId="44" builtinId="5"/>
    <cellStyle name="Title" xfId="40" builtinId="15" customBuiltin="1"/>
    <cellStyle name="Total" xfId="41" builtinId="25" customBuiltin="1"/>
    <cellStyle name="Warning Text" xfId="42" builtinId="11" customBuiltin="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ames West" id="{FC895E34-1C92-4006-8B28-FB315BFA5D52}" userId="S-1-5-21-3019440104-1307279043-1135002711-12644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8" dT="2025-05-14T15:50:26.56" personId="{FC895E34-1C92-4006-8B28-FB315BFA5D52}" id="{94E76994-7A38-49BA-8532-4716568E655E}">
    <text>2% CPI for utilities and other expenses billed</text>
  </threadedComment>
  <threadedComment ref="H20" dT="2025-05-14T15:50:58.98" personId="{FC895E34-1C92-4006-8B28-FB315BFA5D52}" id="{74F6B00D-601A-45BD-AD48-4053A2AE723C}">
    <text>Sale of F150 and Tahoe - $10K each?</text>
  </threadedComment>
  <threadedComment ref="H26" dT="2025-05-14T15:53:24.17" personId="{FC895E34-1C92-4006-8B28-FB315BFA5D52}" id="{A00905A3-702D-4C7C-9C21-0769739716F5}">
    <text>Received $200K for only a portion of the FY. Conservative increase of 10%</text>
  </threadedComment>
  <threadedComment ref="H45" dT="2025-05-14T16:54:19.18" personId="{FC895E34-1C92-4006-8B28-FB315BFA5D52}" id="{B14CBB6B-FF89-4133-84C2-F63E5A12F9EA}">
    <text>50 employees at $350/each</text>
  </threadedComment>
  <threadedComment ref="H52" dT="2025-06-30T16:51:45.05" personId="{FC895E34-1C92-4006-8B28-FB315BFA5D52}" id="{A64AB737-4652-48EF-901D-7EC37F184DF0}">
    <text>Need to discuss with staff</text>
  </threadedComment>
  <threadedComment ref="H53" dT="2025-06-24T18:03:35.15" personId="{FC895E34-1C92-4006-8B28-FB315BFA5D52}" id="{A27AC0AC-248A-49C4-8A48-881CB546E86A}">
    <text>3% COLA increase</text>
  </threadedComment>
  <threadedComment ref="H54" dT="2025-06-24T18:04:26.39" personId="{FC895E34-1C92-4006-8B28-FB315BFA5D52}" id="{D3690109-2BC4-4CD9-B219-1904862982C0}">
    <text>Increase by $500</text>
  </threadedComment>
  <threadedComment ref="H55" dT="2025-06-30T15:58:38.93" personId="{FC895E34-1C92-4006-8B28-FB315BFA5D52}" id="{2598A6BC-CB0A-4BB5-AAC4-DFEFB41564FD}">
    <text>Discussed with DN. Keep it at same with 3% CPI adjustment</text>
  </threadedComment>
  <threadedComment ref="H56" dT="2025-05-28T15:30:51.73" personId="{FC895E34-1C92-4006-8B28-FB315BFA5D52}" id="{18B796BA-8DE1-4EB0-B3D3-2F3E5117C389}">
    <text>Jay Roth provided prelim rates via email. $202K however budget $230K for last minute variations.</text>
  </threadedComment>
  <threadedComment ref="H57" dT="2025-06-30T13:03:44.58" personId="{FC895E34-1C92-4006-8B28-FB315BFA5D52}" id="{54BEC8CB-CE63-4AE3-BBB5-202D66758C65}">
    <text>Ended FY24 with $93K - budget $95. Potentially end the year around $84K. Checked with DN</text>
  </threadedComment>
  <threadedComment ref="H58" dT="2025-06-30T13:42:31.99" personId="{FC895E34-1C92-4006-8B28-FB315BFA5D52}" id="{E3A35567-DF4A-4B31-865D-329DD36CA0F1}">
    <text>On pace to be around $37K in FY25. Checked with DN</text>
  </threadedComment>
  <threadedComment ref="H59" dT="2025-06-30T13:48:39.81" personId="{FC895E34-1C92-4006-8B28-FB315BFA5D52}" id="{1BE3126F-598D-49F2-A604-FA6C0572A4F5}">
    <text>Based on FY25 current trend. Takes into account lawn maintenance, pest control, generators, HVAC, etc. Checked with DN</text>
  </threadedComment>
  <threadedComment ref="H60" dT="2025-06-30T13:04:16.38" personId="{FC895E34-1C92-4006-8B28-FB315BFA5D52}" id="{7CCCD5B4-4723-4CFF-A8E0-ADC0C2F10354}">
    <text>COLA 3%</text>
  </threadedComment>
  <threadedComment ref="H63" dT="2025-06-30T13:07:01.22" personId="{FC895E34-1C92-4006-8B28-FB315BFA5D52}" id="{3B621ECC-0957-4FF8-844A-A7D9F13B6D2E}">
    <text>PDW DN increase by $1,000 to account for renting scissor lifts sporadically ($1,000/week)</text>
  </threadedComment>
  <threadedComment ref="H64" dT="2025-06-30T13:41:32.17" personId="{FC895E34-1C92-4006-8B28-FB315BFA5D52}" id="{869C248C-9607-4D1E-A4D8-CF434BA7746C}">
    <text xml:space="preserve">No significant changes other than CPI adjustment 3%. PDW DN. </text>
  </threadedComment>
  <threadedComment ref="H65" dT="2025-06-30T15:46:43.19" personId="{FC895E34-1C92-4006-8B28-FB315BFA5D52}" id="{0F6C71DC-A970-4C20-B360-3621B5FF5D00}">
    <text>Per Derek, leave same amount of $30K based on needs for FY26</text>
  </threadedComment>
  <threadedComment ref="H66" dT="2025-06-30T13:11:57.96" personId="{FC895E34-1C92-4006-8B28-FB315BFA5D52}" id="{8999034B-3F6B-446C-BC97-3FE752E6890F}">
    <text>PDW DN, decrease to $15K based on trend and current YTD expenditures</text>
  </threadedComment>
  <threadedComment ref="H68" dT="2025-06-30T13:13:46.26" personId="{FC895E34-1C92-4006-8B28-FB315BFA5D52}" id="{D2BCFF67-42DD-4EA3-B5AF-5972F04B02C6}">
    <text>PDW DN, increase by $1K to be consistent with FY25 trend and cost of inflation</text>
  </threadedComment>
  <threadedComment ref="H69" dT="2025-06-30T13:14:16.65" personId="{FC895E34-1C92-4006-8B28-FB315BFA5D52}" id="{DE704341-A940-41F4-B336-8E392F333E62}">
    <text>Per Chief Batiato’s spreadsheet</text>
  </threadedComment>
  <threadedComment ref="H70" dT="2025-06-30T13:16:24.29" personId="{FC895E34-1C92-4006-8B28-FB315BFA5D52}" id="{DB34F003-4778-4B40-8BD3-4109478B6B06}">
    <text>Volatile market - adjust to $75K. FY24 was $77K. FY25 on track to be close to $60K but this does not take into consideration hurricanes. Discussed with DN to keep it at $75K</text>
  </threadedComment>
  <threadedComment ref="H71" dT="2025-06-30T13:18:41.39" personId="{FC895E34-1C92-4006-8B28-FB315BFA5D52}" id="{222069D7-BA08-4E40-A5D6-06AA4C9E4D9F}">
    <text>Need more data from Derek on what will be purchased and how much to budget. FY25 on pace to be around $30K mark - same as FY24. Increase by $5K per DN</text>
  </threadedComment>
  <threadedComment ref="H72" dT="2025-06-30T13:20:27.58" personId="{FC895E34-1C92-4006-8B28-FB315BFA5D52}" id="{F5A0C9CD-C840-42F2-9F26-9AE47B67F617}">
    <text>Based on conversations with Jason</text>
  </threadedComment>
  <threadedComment ref="H73" dT="2025-06-24T18:06:56.87" personId="{FC895E34-1C92-4006-8B28-FB315BFA5D52}" id="{49438EE6-1F4A-42A3-AA89-C365001CE697}">
    <text>Includes new website ADA compliance plus increase by switching to Vector. See Computer Maint Software Tab</text>
  </threadedComment>
  <threadedComment ref="H75" dT="2025-06-30T13:25:51.49" personId="{FC895E34-1C92-4006-8B28-FB315BFA5D52}" id="{CF2D0E24-0B17-4790-9777-EFCC0A04A8E6}">
    <text>PDW DN, $5K should suffice based on needs and his spreadsheet</text>
  </threadedComment>
  <threadedComment ref="H76" dT="2025-06-30T13:26:14.21" personId="{FC895E34-1C92-4006-8B28-FB315BFA5D52}" id="{0567CE60-1D23-4D58-8D96-60563FE3A3D3}">
    <text>Consistent with last year and on pace for FY25</text>
  </threadedComment>
  <threadedComment ref="H78" dT="2025-06-30T13:40:08.52" personId="{FC895E34-1C92-4006-8B28-FB315BFA5D52}" id="{EA8E5A18-B9D3-4CD1-A454-07865CB7998F}">
    <text>Based on Chief Batiato spreadsheet. Initially budgeted $79,100 but can’t find support for that figure - only Dave’s spreadsheet totaling $69,050</text>
  </threadedComment>
  <threadedComment ref="H79" dT="2025-06-30T13:32:14.28" personId="{FC895E34-1C92-4006-8B28-FB315BFA5D52}" id="{C4F8555D-25E6-41A1-9463-B61E74B5D3E5}">
    <text>Based on FY25. FY24 was $5.7K - more staff</text>
  </threadedComment>
  <threadedComment ref="H85" dT="2025-06-30T13:28:26.42" personId="{FC895E34-1C92-4006-8B28-FB315BFA5D52}" id="{9C57819A-C5D3-41A7-96EE-1C727B4CDF59}">
    <text>Per Chief Batiato - $6,500 trailer w/ awning, $4,700 smoke generator, and $3,500 in medical props</text>
  </threadedComment>
  <threadedComment ref="H93" dT="2025-06-30T14:36:38.42" personId="{FC895E34-1C92-4006-8B28-FB315BFA5D52}" id="{161309BD-5A9E-48B5-B7D9-F4ADE335F763}">
    <text>New expedition for Chief Mendoza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8" dT="2025-06-26T14:29:31.44" personId="{FC895E34-1C92-4006-8B28-FB315BFA5D52}" id="{7EA62C13-3EDB-4A39-92B8-B8FE922D767E}">
    <text>5% increase in monthly cost</text>
  </threadedComment>
  <threadedComment ref="C11" dT="2025-06-26T14:30:46.37" personId="{FC895E34-1C92-4006-8B28-FB315BFA5D52}" id="{F2285400-6FD8-4315-B9CD-F343B494128A}">
    <text>5% increase on all comcast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15" dT="2025-06-26T14:14:48.85" personId="{FC895E34-1C92-4006-8B28-FB315BFA5D52}" id="{5FAA011C-4446-41A2-B536-1E572A97B65B}">
    <text>$150/month</text>
  </threadedComment>
  <threadedComment ref="A22" dT="2025-06-26T14:28:30.26" personId="{FC895E34-1C92-4006-8B28-FB315BFA5D52}" id="{B91AF65C-B6EF-4D58-B869-594973D5168A}">
    <text>ALS Software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B6" dT="2025-07-09T15:36:10.79" personId="{FC895E34-1C92-4006-8B28-FB315BFA5D52}" id="{7DF1FAC8-BD72-4802-BC3F-D7D36AC87B34}">
    <text>Dave budgeted $800</text>
  </threadedComment>
  <threadedComment ref="B9" dT="2025-07-09T15:35:48.82" personId="{FC895E34-1C92-4006-8B28-FB315BFA5D52}" id="{09DFB019-BDB7-4062-A610-21808A631FE4}">
    <text>Per Dave’s spreadsheet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30"/>
  <sheetViews>
    <sheetView tabSelected="1" zoomScale="90" zoomScaleNormal="90" zoomScalePageLayoutView="60" workbookViewId="0">
      <pane ySplit="5" topLeftCell="A6" activePane="bottomLeft" state="frozen"/>
      <selection pane="bottomLeft" activeCell="H5" sqref="H5"/>
    </sheetView>
  </sheetViews>
  <sheetFormatPr defaultRowHeight="15" x14ac:dyDescent="0.25"/>
  <cols>
    <col min="1" max="1" width="5" style="10" customWidth="1"/>
    <col min="2" max="2" width="46.7109375" style="5" customWidth="1"/>
    <col min="3" max="3" width="17.42578125" style="20" hidden="1" customWidth="1"/>
    <col min="4" max="4" width="12.42578125" style="12" hidden="1" customWidth="1"/>
    <col min="5" max="5" width="12.5703125" style="12" hidden="1" customWidth="1"/>
    <col min="6" max="6" width="15.7109375" style="85" customWidth="1"/>
    <col min="7" max="7" width="3.7109375" style="37" hidden="1" customWidth="1"/>
    <col min="8" max="8" width="16.42578125" style="85" bestFit="1" customWidth="1"/>
    <col min="9" max="9" width="14.5703125" style="85" customWidth="1"/>
    <col min="10" max="10" width="11" style="127" customWidth="1"/>
    <col min="11" max="11" width="20.42578125" style="5" customWidth="1"/>
    <col min="12" max="15" width="20.42578125" customWidth="1"/>
    <col min="17" max="17" width="16.28515625" bestFit="1" customWidth="1"/>
  </cols>
  <sheetData>
    <row r="1" spans="1:17" s="2" customFormat="1" x14ac:dyDescent="0.25">
      <c r="A1" s="6"/>
      <c r="B1" s="3"/>
      <c r="C1" s="7"/>
      <c r="D1" s="7"/>
      <c r="E1" s="7"/>
      <c r="F1" s="83"/>
      <c r="G1" s="31"/>
      <c r="H1" s="83"/>
      <c r="I1" s="83"/>
      <c r="J1" s="83"/>
      <c r="K1" s="3"/>
    </row>
    <row r="2" spans="1:17" s="2" customFormat="1" ht="21" x14ac:dyDescent="0.35">
      <c r="A2" s="166" t="s">
        <v>185</v>
      </c>
      <c r="B2" s="166"/>
      <c r="C2" s="166"/>
      <c r="D2" s="166"/>
      <c r="E2" s="166"/>
      <c r="F2" s="166"/>
      <c r="G2" s="166"/>
      <c r="H2" s="166"/>
      <c r="I2" s="166"/>
      <c r="J2" s="166"/>
      <c r="K2" s="3"/>
    </row>
    <row r="3" spans="1:17" s="2" customFormat="1" ht="15.75" thickBot="1" x14ac:dyDescent="0.3">
      <c r="A3" s="6"/>
      <c r="B3" s="3"/>
      <c r="C3" s="8"/>
      <c r="D3" s="8"/>
      <c r="E3" s="8"/>
      <c r="F3" s="84"/>
      <c r="G3" s="32"/>
      <c r="H3" s="84"/>
      <c r="I3" s="84"/>
      <c r="J3" s="84"/>
      <c r="K3" s="3"/>
    </row>
    <row r="4" spans="1:17" s="2" customFormat="1" x14ac:dyDescent="0.25">
      <c r="A4" s="22"/>
      <c r="B4" s="23"/>
      <c r="C4" s="24" t="s">
        <v>26</v>
      </c>
      <c r="D4" s="23"/>
      <c r="E4" s="23"/>
      <c r="F4" s="101" t="s">
        <v>180</v>
      </c>
      <c r="G4" s="33"/>
      <c r="H4" s="102" t="s">
        <v>395</v>
      </c>
      <c r="I4" s="102"/>
      <c r="J4" s="102"/>
      <c r="K4" s="3"/>
    </row>
    <row r="5" spans="1:17" s="1" customFormat="1" x14ac:dyDescent="0.25">
      <c r="A5" s="27"/>
      <c r="B5" s="28"/>
      <c r="C5" s="29" t="s">
        <v>9</v>
      </c>
      <c r="D5" s="30" t="s">
        <v>6</v>
      </c>
      <c r="E5" s="30"/>
      <c r="F5" s="86" t="s">
        <v>388</v>
      </c>
      <c r="G5" s="34"/>
      <c r="H5" s="86" t="s">
        <v>389</v>
      </c>
      <c r="I5" s="86" t="s">
        <v>360</v>
      </c>
      <c r="J5" s="86" t="s">
        <v>361</v>
      </c>
      <c r="K5" s="4"/>
    </row>
    <row r="6" spans="1:17" s="1" customFormat="1" ht="17.25" x14ac:dyDescent="0.4">
      <c r="A6" s="54"/>
      <c r="B6" s="55"/>
      <c r="C6" s="16"/>
      <c r="D6" s="9" t="s">
        <v>10</v>
      </c>
      <c r="E6" s="9"/>
      <c r="F6" s="87"/>
      <c r="G6" s="35"/>
      <c r="H6" s="87"/>
      <c r="I6" s="87"/>
      <c r="J6" s="87"/>
      <c r="K6" s="4"/>
    </row>
    <row r="7" spans="1:17" s="1" customFormat="1" ht="17.25" x14ac:dyDescent="0.4">
      <c r="A7" s="56"/>
      <c r="B7" s="57"/>
      <c r="C7" s="16"/>
      <c r="D7" s="9"/>
      <c r="E7" s="9"/>
      <c r="F7" s="87"/>
      <c r="G7" s="35"/>
      <c r="H7" s="87"/>
      <c r="I7" s="87"/>
      <c r="J7" s="87"/>
      <c r="K7" s="162"/>
      <c r="L7" s="163"/>
      <c r="M7" s="163"/>
      <c r="O7" s="163">
        <v>2870265370</v>
      </c>
      <c r="Q7" s="163"/>
    </row>
    <row r="8" spans="1:17" s="1" customFormat="1" x14ac:dyDescent="0.25">
      <c r="A8" s="53" t="s">
        <v>41</v>
      </c>
      <c r="B8" s="41"/>
      <c r="C8" s="42">
        <v>1600000</v>
      </c>
      <c r="D8" s="43">
        <v>123068</v>
      </c>
      <c r="E8" s="43"/>
      <c r="F8" s="98">
        <v>2393325</v>
      </c>
      <c r="G8" s="37"/>
      <c r="H8" s="98">
        <f>F110</f>
        <v>2418073</v>
      </c>
      <c r="I8" s="98">
        <f>H8-F8</f>
        <v>24748</v>
      </c>
      <c r="J8" s="131">
        <f>I8/F8</f>
        <v>1.0340425976413567E-2</v>
      </c>
      <c r="K8" s="162">
        <f>H11/0.95</f>
        <v>10763494.736842105</v>
      </c>
      <c r="L8" s="163">
        <f>K8/3.75*1000</f>
        <v>2870265263.1578946</v>
      </c>
      <c r="M8" s="163">
        <f>L8/1000*3.75</f>
        <v>10763494.736842105</v>
      </c>
      <c r="O8" s="163">
        <f>O7/1000*3.75</f>
        <v>10763495.137500001</v>
      </c>
    </row>
    <row r="9" spans="1:17" s="1" customFormat="1" x14ac:dyDescent="0.25">
      <c r="A9" s="56"/>
      <c r="B9" s="5"/>
      <c r="C9" s="58"/>
      <c r="D9" s="59"/>
      <c r="E9" s="59"/>
      <c r="F9" s="88"/>
      <c r="G9" s="36"/>
      <c r="H9" s="88"/>
      <c r="I9" s="88"/>
      <c r="J9" s="88"/>
      <c r="K9" s="4"/>
      <c r="M9" s="163">
        <f>M8*0.95</f>
        <v>10225320</v>
      </c>
      <c r="O9" s="163">
        <f>O8*0.95</f>
        <v>10225320.380625</v>
      </c>
    </row>
    <row r="10" spans="1:17" s="1" customFormat="1" ht="17.25" x14ac:dyDescent="0.4">
      <c r="A10" s="52" t="s">
        <v>27</v>
      </c>
      <c r="B10" s="39"/>
      <c r="C10" s="24"/>
      <c r="D10" s="26"/>
      <c r="E10" s="26"/>
      <c r="F10" s="89"/>
      <c r="G10" s="35"/>
      <c r="H10" s="89"/>
      <c r="I10" s="89"/>
      <c r="J10" s="89"/>
      <c r="K10" s="4"/>
      <c r="O10" s="163"/>
    </row>
    <row r="11" spans="1:17" x14ac:dyDescent="0.25">
      <c r="A11" s="53" t="s">
        <v>15</v>
      </c>
      <c r="B11" s="41" t="s">
        <v>109</v>
      </c>
      <c r="C11" s="42">
        <v>3336146</v>
      </c>
      <c r="D11" s="43">
        <v>0</v>
      </c>
      <c r="E11" s="43">
        <v>0</v>
      </c>
      <c r="F11" s="98">
        <v>8716607</v>
      </c>
      <c r="H11" s="98">
        <v>10225320</v>
      </c>
      <c r="I11" s="98">
        <f>H11-F11</f>
        <v>1508713</v>
      </c>
      <c r="J11" s="131">
        <f>(H11-F11)/F11</f>
        <v>0.17308489415663686</v>
      </c>
      <c r="K11" s="117" t="s">
        <v>386</v>
      </c>
    </row>
    <row r="12" spans="1:17" x14ac:dyDescent="0.25">
      <c r="A12" s="53" t="s">
        <v>129</v>
      </c>
      <c r="B12" s="41" t="s">
        <v>32</v>
      </c>
      <c r="C12" s="44">
        <v>350000</v>
      </c>
      <c r="D12" s="45"/>
      <c r="E12" s="45">
        <v>0</v>
      </c>
      <c r="F12" s="98">
        <v>0</v>
      </c>
      <c r="H12" s="98"/>
      <c r="I12" s="98">
        <f t="shared" ref="I12:I26" si="0">H12-F12</f>
        <v>0</v>
      </c>
      <c r="J12" s="131"/>
    </row>
    <row r="13" spans="1:17" x14ac:dyDescent="0.25">
      <c r="A13" s="53" t="s">
        <v>130</v>
      </c>
      <c r="B13" s="41" t="s">
        <v>33</v>
      </c>
      <c r="C13" s="44">
        <v>3840</v>
      </c>
      <c r="D13" s="45">
        <v>0</v>
      </c>
      <c r="E13" s="45">
        <v>0</v>
      </c>
      <c r="F13" s="98">
        <v>2500</v>
      </c>
      <c r="H13" s="98">
        <v>2500</v>
      </c>
      <c r="I13" s="98">
        <f t="shared" si="0"/>
        <v>0</v>
      </c>
      <c r="J13" s="131">
        <f t="shared" ref="J13:J26" si="1">I13/F13</f>
        <v>0</v>
      </c>
    </row>
    <row r="14" spans="1:17" x14ac:dyDescent="0.25">
      <c r="A14" s="53" t="s">
        <v>131</v>
      </c>
      <c r="B14" s="41" t="s">
        <v>178</v>
      </c>
      <c r="C14" s="44"/>
      <c r="D14" s="45"/>
      <c r="E14" s="45"/>
      <c r="F14" s="98">
        <v>0</v>
      </c>
      <c r="H14" s="98"/>
      <c r="I14" s="98">
        <f t="shared" si="0"/>
        <v>0</v>
      </c>
      <c r="J14" s="131"/>
    </row>
    <row r="15" spans="1:17" x14ac:dyDescent="0.25">
      <c r="A15" s="53" t="s">
        <v>132</v>
      </c>
      <c r="B15" s="41" t="s">
        <v>127</v>
      </c>
      <c r="C15" s="44"/>
      <c r="D15" s="45"/>
      <c r="E15" s="45"/>
      <c r="F15" s="98"/>
      <c r="H15" s="98"/>
      <c r="I15" s="98">
        <f t="shared" si="0"/>
        <v>0</v>
      </c>
      <c r="J15" s="131"/>
    </row>
    <row r="16" spans="1:17" x14ac:dyDescent="0.25">
      <c r="A16" s="53"/>
      <c r="B16" s="41" t="s">
        <v>153</v>
      </c>
      <c r="C16" s="44"/>
      <c r="D16" s="45"/>
      <c r="E16" s="45"/>
      <c r="F16" s="98"/>
      <c r="H16" s="98"/>
      <c r="I16" s="98">
        <f t="shared" si="0"/>
        <v>0</v>
      </c>
      <c r="J16" s="131"/>
    </row>
    <row r="17" spans="1:17" x14ac:dyDescent="0.25">
      <c r="A17" s="53" t="s">
        <v>133</v>
      </c>
      <c r="B17" s="41" t="s">
        <v>34</v>
      </c>
      <c r="C17" s="44">
        <v>8000</v>
      </c>
      <c r="D17" s="45">
        <v>0</v>
      </c>
      <c r="E17" s="45">
        <v>0</v>
      </c>
      <c r="F17" s="98">
        <v>130000</v>
      </c>
      <c r="H17" s="98">
        <v>130000</v>
      </c>
      <c r="I17" s="98">
        <f t="shared" si="0"/>
        <v>0</v>
      </c>
      <c r="J17" s="131">
        <f t="shared" si="1"/>
        <v>0</v>
      </c>
      <c r="K17" s="117" t="s">
        <v>382</v>
      </c>
    </row>
    <row r="18" spans="1:17" x14ac:dyDescent="0.25">
      <c r="A18" s="53" t="s">
        <v>17</v>
      </c>
      <c r="B18" s="41" t="s">
        <v>35</v>
      </c>
      <c r="C18" s="44">
        <v>6120</v>
      </c>
      <c r="D18" s="45">
        <v>0</v>
      </c>
      <c r="E18" s="45">
        <v>0</v>
      </c>
      <c r="F18" s="98">
        <v>45000</v>
      </c>
      <c r="H18" s="98">
        <v>45900</v>
      </c>
      <c r="I18" s="98">
        <f t="shared" si="0"/>
        <v>900</v>
      </c>
      <c r="J18" s="131">
        <f t="shared" si="1"/>
        <v>0.02</v>
      </c>
      <c r="K18" s="117" t="s">
        <v>385</v>
      </c>
      <c r="L18" s="103"/>
    </row>
    <row r="19" spans="1:17" x14ac:dyDescent="0.25">
      <c r="A19" s="53" t="s">
        <v>18</v>
      </c>
      <c r="B19" s="41" t="s">
        <v>31</v>
      </c>
      <c r="C19" s="44">
        <v>4500</v>
      </c>
      <c r="D19" s="45">
        <v>0</v>
      </c>
      <c r="E19" s="45">
        <v>0</v>
      </c>
      <c r="F19" s="98">
        <v>0</v>
      </c>
      <c r="H19" s="98"/>
      <c r="I19" s="98">
        <f t="shared" si="0"/>
        <v>0</v>
      </c>
      <c r="J19" s="131"/>
    </row>
    <row r="20" spans="1:17" x14ac:dyDescent="0.25">
      <c r="A20" s="53" t="s">
        <v>19</v>
      </c>
      <c r="B20" s="41" t="s">
        <v>117</v>
      </c>
      <c r="C20" s="44"/>
      <c r="D20" s="45"/>
      <c r="E20" s="45"/>
      <c r="F20" s="98">
        <v>918124</v>
      </c>
      <c r="H20" s="98">
        <v>20000</v>
      </c>
      <c r="I20" s="98">
        <f t="shared" si="0"/>
        <v>-898124</v>
      </c>
      <c r="J20" s="131">
        <f t="shared" si="1"/>
        <v>-0.97821645006556845</v>
      </c>
    </row>
    <row r="21" spans="1:17" x14ac:dyDescent="0.25">
      <c r="A21" s="53" t="s">
        <v>20</v>
      </c>
      <c r="B21" s="41" t="s">
        <v>36</v>
      </c>
      <c r="C21" s="44">
        <v>100</v>
      </c>
      <c r="D21" s="45">
        <v>0</v>
      </c>
      <c r="E21" s="45">
        <v>0</v>
      </c>
      <c r="F21" s="98">
        <v>100</v>
      </c>
      <c r="H21" s="98"/>
      <c r="I21" s="98">
        <f t="shared" si="0"/>
        <v>-100</v>
      </c>
      <c r="J21" s="131">
        <f t="shared" si="1"/>
        <v>-1</v>
      </c>
    </row>
    <row r="22" spans="1:17" x14ac:dyDescent="0.25">
      <c r="A22" s="53" t="s">
        <v>21</v>
      </c>
      <c r="B22" s="41" t="s">
        <v>134</v>
      </c>
      <c r="C22" s="44"/>
      <c r="D22" s="45"/>
      <c r="E22" s="45"/>
      <c r="F22" s="98">
        <v>0</v>
      </c>
      <c r="H22" s="98"/>
      <c r="I22" s="98">
        <f t="shared" si="0"/>
        <v>0</v>
      </c>
      <c r="J22" s="131"/>
    </row>
    <row r="23" spans="1:17" x14ac:dyDescent="0.25">
      <c r="A23" s="53" t="s">
        <v>22</v>
      </c>
      <c r="B23" s="41" t="s">
        <v>114</v>
      </c>
      <c r="C23" s="44"/>
      <c r="D23" s="45">
        <v>550000</v>
      </c>
      <c r="E23" s="45"/>
      <c r="F23" s="98">
        <v>5000</v>
      </c>
      <c r="H23" s="98">
        <v>5000</v>
      </c>
      <c r="I23" s="98">
        <f t="shared" si="0"/>
        <v>0</v>
      </c>
      <c r="J23" s="131">
        <f t="shared" si="1"/>
        <v>0</v>
      </c>
    </row>
    <row r="24" spans="1:17" x14ac:dyDescent="0.25">
      <c r="A24" s="53" t="s">
        <v>23</v>
      </c>
      <c r="B24" s="41" t="s">
        <v>37</v>
      </c>
      <c r="C24" s="44">
        <v>10000</v>
      </c>
      <c r="D24" s="45">
        <v>50000</v>
      </c>
      <c r="E24" s="45">
        <v>0</v>
      </c>
      <c r="F24" s="98">
        <v>25000</v>
      </c>
      <c r="H24" s="98">
        <v>10000</v>
      </c>
      <c r="I24" s="98">
        <f t="shared" si="0"/>
        <v>-15000</v>
      </c>
      <c r="J24" s="131">
        <f t="shared" si="1"/>
        <v>-0.6</v>
      </c>
      <c r="K24" s="117" t="s">
        <v>384</v>
      </c>
    </row>
    <row r="25" spans="1:17" x14ac:dyDescent="0.25">
      <c r="A25" s="53" t="s">
        <v>24</v>
      </c>
      <c r="B25" s="41" t="s">
        <v>170</v>
      </c>
      <c r="C25" s="44">
        <v>5000</v>
      </c>
      <c r="D25" s="45"/>
      <c r="E25" s="45"/>
      <c r="F25" s="98">
        <v>0</v>
      </c>
      <c r="H25" s="98"/>
      <c r="I25" s="98">
        <f t="shared" si="0"/>
        <v>0</v>
      </c>
      <c r="J25" s="131"/>
    </row>
    <row r="26" spans="1:17" x14ac:dyDescent="0.25">
      <c r="A26" s="53" t="s">
        <v>25</v>
      </c>
      <c r="B26" s="41" t="s">
        <v>128</v>
      </c>
      <c r="C26" s="44"/>
      <c r="D26" s="45"/>
      <c r="E26" s="45"/>
      <c r="F26" s="98">
        <v>200000</v>
      </c>
      <c r="H26" s="98">
        <v>220000</v>
      </c>
      <c r="I26" s="98">
        <f t="shared" si="0"/>
        <v>20000</v>
      </c>
      <c r="J26" s="131">
        <f t="shared" si="1"/>
        <v>0.1</v>
      </c>
      <c r="K26" s="117" t="s">
        <v>383</v>
      </c>
      <c r="L26" s="104"/>
    </row>
    <row r="27" spans="1:17" x14ac:dyDescent="0.25">
      <c r="A27" s="22" t="s">
        <v>28</v>
      </c>
      <c r="B27" s="23"/>
      <c r="C27" s="50">
        <f t="shared" ref="C27:I27" si="2">SUM(C11:C26)</f>
        <v>3723706</v>
      </c>
      <c r="D27" s="51">
        <f t="shared" si="2"/>
        <v>600000</v>
      </c>
      <c r="E27" s="51">
        <f t="shared" si="2"/>
        <v>0</v>
      </c>
      <c r="F27" s="99">
        <f t="shared" si="2"/>
        <v>10042331</v>
      </c>
      <c r="G27" s="99">
        <f t="shared" si="2"/>
        <v>0</v>
      </c>
      <c r="H27" s="99">
        <f t="shared" si="2"/>
        <v>10658720</v>
      </c>
      <c r="I27" s="99">
        <f t="shared" si="2"/>
        <v>616389</v>
      </c>
      <c r="J27" s="132">
        <f>I27/F27</f>
        <v>6.1379076232400624E-2</v>
      </c>
      <c r="L27" s="105"/>
    </row>
    <row r="28" spans="1:17" x14ac:dyDescent="0.25">
      <c r="C28" s="17"/>
      <c r="D28" s="11"/>
      <c r="E28" s="11"/>
      <c r="F28" s="90"/>
      <c r="H28" s="90"/>
      <c r="I28" s="90"/>
      <c r="K28" s="177"/>
    </row>
    <row r="29" spans="1:17" x14ac:dyDescent="0.25">
      <c r="A29" s="22" t="s">
        <v>29</v>
      </c>
      <c r="B29" s="25"/>
      <c r="C29" s="50"/>
      <c r="D29" s="51"/>
      <c r="E29" s="51"/>
      <c r="F29" s="92"/>
      <c r="H29" s="92"/>
      <c r="I29" s="92"/>
      <c r="J29" s="76"/>
    </row>
    <row r="30" spans="1:17" x14ac:dyDescent="0.25">
      <c r="A30" s="53" t="s">
        <v>49</v>
      </c>
      <c r="B30" s="41" t="s">
        <v>154</v>
      </c>
      <c r="C30" s="42">
        <v>1984722</v>
      </c>
      <c r="D30" s="43">
        <v>-108348</v>
      </c>
      <c r="E30" s="43">
        <v>0</v>
      </c>
      <c r="F30" s="98">
        <v>3713529</v>
      </c>
      <c r="H30" s="98">
        <v>4165461</v>
      </c>
      <c r="I30" s="98">
        <f>H30-F30</f>
        <v>451932</v>
      </c>
      <c r="J30" s="131">
        <f>I30/F30</f>
        <v>0.12169879378887306</v>
      </c>
      <c r="K30" s="164" t="s">
        <v>381</v>
      </c>
      <c r="L30" s="165"/>
      <c r="M30" s="165"/>
      <c r="N30" s="165"/>
      <c r="O30" s="165"/>
      <c r="P30" s="165"/>
      <c r="Q30" s="165"/>
    </row>
    <row r="31" spans="1:17" x14ac:dyDescent="0.25">
      <c r="A31" s="53" t="s">
        <v>50</v>
      </c>
      <c r="B31" s="41" t="s">
        <v>42</v>
      </c>
      <c r="C31" s="44">
        <v>170000</v>
      </c>
      <c r="D31" s="45"/>
      <c r="E31" s="45">
        <v>0</v>
      </c>
      <c r="F31" s="98">
        <v>350000</v>
      </c>
      <c r="H31" s="98">
        <v>438154</v>
      </c>
      <c r="I31" s="98">
        <f t="shared" ref="I31:I40" si="3">H31-F31</f>
        <v>88154</v>
      </c>
      <c r="J31" s="131">
        <f t="shared" ref="J31:J41" si="4">I31/F31</f>
        <v>0.25186857142857144</v>
      </c>
      <c r="K31" s="164"/>
      <c r="L31" s="165"/>
      <c r="M31" s="165"/>
      <c r="N31" s="165"/>
      <c r="O31" s="165"/>
      <c r="P31" s="165"/>
      <c r="Q31" s="165"/>
    </row>
    <row r="32" spans="1:17" x14ac:dyDescent="0.25">
      <c r="A32" s="53" t="s">
        <v>51</v>
      </c>
      <c r="B32" s="41" t="s">
        <v>43</v>
      </c>
      <c r="C32" s="44"/>
      <c r="D32" s="45"/>
      <c r="E32" s="45"/>
      <c r="F32" s="98">
        <v>218590</v>
      </c>
      <c r="H32" s="98">
        <v>228602</v>
      </c>
      <c r="I32" s="98">
        <f t="shared" si="3"/>
        <v>10012</v>
      </c>
      <c r="J32" s="131">
        <f t="shared" si="4"/>
        <v>4.5802644219772176E-2</v>
      </c>
      <c r="K32" s="164"/>
      <c r="L32" s="165"/>
      <c r="M32" s="165"/>
      <c r="N32" s="165"/>
      <c r="O32" s="165"/>
      <c r="P32" s="165"/>
      <c r="Q32" s="165"/>
    </row>
    <row r="33" spans="1:18" x14ac:dyDescent="0.25">
      <c r="A33" s="53" t="s">
        <v>52</v>
      </c>
      <c r="B33" s="41" t="s">
        <v>30</v>
      </c>
      <c r="C33" s="44">
        <v>50000</v>
      </c>
      <c r="D33" s="45"/>
      <c r="E33" s="45">
        <v>0</v>
      </c>
      <c r="F33" s="98">
        <v>90000</v>
      </c>
      <c r="H33" s="98">
        <v>112549</v>
      </c>
      <c r="I33" s="98">
        <f t="shared" si="3"/>
        <v>22549</v>
      </c>
      <c r="J33" s="131">
        <f t="shared" si="4"/>
        <v>0.25054444444444446</v>
      </c>
      <c r="K33" s="164"/>
      <c r="L33" s="165"/>
      <c r="M33" s="165"/>
      <c r="N33" s="165"/>
      <c r="O33" s="165"/>
      <c r="P33" s="165"/>
      <c r="Q33" s="165"/>
    </row>
    <row r="34" spans="1:18" x14ac:dyDescent="0.25">
      <c r="A34" s="53" t="s">
        <v>53</v>
      </c>
      <c r="B34" s="41" t="s">
        <v>44</v>
      </c>
      <c r="C34" s="44">
        <v>9000</v>
      </c>
      <c r="D34" s="45"/>
      <c r="E34" s="45">
        <v>0</v>
      </c>
      <c r="F34" s="98">
        <v>12000</v>
      </c>
      <c r="H34" s="98">
        <v>12000</v>
      </c>
      <c r="I34" s="98">
        <f t="shared" si="3"/>
        <v>0</v>
      </c>
      <c r="J34" s="131">
        <f t="shared" si="4"/>
        <v>0</v>
      </c>
      <c r="K34" s="164"/>
      <c r="L34" s="165"/>
      <c r="M34" s="165"/>
      <c r="N34" s="165"/>
      <c r="O34" s="165"/>
      <c r="P34" s="165"/>
      <c r="Q34" s="165"/>
    </row>
    <row r="35" spans="1:18" x14ac:dyDescent="0.25">
      <c r="A35" s="53" t="s">
        <v>54</v>
      </c>
      <c r="B35" s="41" t="s">
        <v>45</v>
      </c>
      <c r="C35" s="44">
        <v>55000</v>
      </c>
      <c r="D35" s="45">
        <v>-45000</v>
      </c>
      <c r="E35" s="45">
        <v>0</v>
      </c>
      <c r="F35" s="98">
        <v>12000</v>
      </c>
      <c r="H35" s="98">
        <v>12000</v>
      </c>
      <c r="I35" s="98">
        <f t="shared" si="3"/>
        <v>0</v>
      </c>
      <c r="J35" s="131">
        <f t="shared" si="4"/>
        <v>0</v>
      </c>
      <c r="K35" s="164"/>
      <c r="L35" s="165"/>
      <c r="M35" s="165"/>
      <c r="N35" s="165"/>
      <c r="O35" s="165"/>
      <c r="P35" s="165"/>
      <c r="Q35" s="165"/>
    </row>
    <row r="36" spans="1:18" x14ac:dyDescent="0.25">
      <c r="A36" s="53" t="s">
        <v>55</v>
      </c>
      <c r="B36" s="41" t="s">
        <v>46</v>
      </c>
      <c r="C36" s="44">
        <v>151831</v>
      </c>
      <c r="D36" s="45"/>
      <c r="E36" s="45">
        <v>0</v>
      </c>
      <c r="F36" s="98">
        <v>326741</v>
      </c>
      <c r="H36" s="98">
        <v>380111</v>
      </c>
      <c r="I36" s="98">
        <f t="shared" si="3"/>
        <v>53370</v>
      </c>
      <c r="J36" s="131">
        <f t="shared" si="4"/>
        <v>0.16334038274963963</v>
      </c>
      <c r="K36" s="164"/>
      <c r="L36" s="165"/>
      <c r="M36" s="165"/>
      <c r="N36" s="165"/>
      <c r="O36" s="165"/>
      <c r="P36" s="165"/>
      <c r="Q36" s="165"/>
    </row>
    <row r="37" spans="1:18" x14ac:dyDescent="0.25">
      <c r="A37" s="53" t="s">
        <v>56</v>
      </c>
      <c r="B37" s="41" t="s">
        <v>47</v>
      </c>
      <c r="C37" s="44">
        <v>460578</v>
      </c>
      <c r="D37" s="45"/>
      <c r="E37" s="45">
        <v>0</v>
      </c>
      <c r="F37" s="98">
        <v>1255907</v>
      </c>
      <c r="H37" s="98">
        <v>1407143</v>
      </c>
      <c r="I37" s="98">
        <f t="shared" si="3"/>
        <v>151236</v>
      </c>
      <c r="J37" s="131">
        <f t="shared" si="4"/>
        <v>0.12041974445560061</v>
      </c>
      <c r="K37" s="164"/>
      <c r="L37" s="165"/>
      <c r="M37" s="165"/>
      <c r="N37" s="165"/>
      <c r="O37" s="165"/>
      <c r="P37" s="165"/>
      <c r="Q37" s="165"/>
    </row>
    <row r="38" spans="1:18" x14ac:dyDescent="0.25">
      <c r="A38" s="53" t="s">
        <v>57</v>
      </c>
      <c r="B38" s="41" t="s">
        <v>116</v>
      </c>
      <c r="C38" s="44">
        <v>587972</v>
      </c>
      <c r="D38" s="45"/>
      <c r="E38" s="45">
        <v>0</v>
      </c>
      <c r="F38" s="98">
        <v>1162264</v>
      </c>
      <c r="H38" s="98">
        <f>1285032-10000</f>
        <v>1275032</v>
      </c>
      <c r="I38" s="98">
        <f t="shared" si="3"/>
        <v>112768</v>
      </c>
      <c r="J38" s="131">
        <f t="shared" si="4"/>
        <v>9.7024428184990671E-2</v>
      </c>
      <c r="K38" s="164"/>
      <c r="L38" s="165"/>
      <c r="M38" s="165"/>
      <c r="N38" s="165"/>
      <c r="O38" s="165"/>
      <c r="P38" s="165"/>
      <c r="Q38" s="165"/>
    </row>
    <row r="39" spans="1:18" x14ac:dyDescent="0.25">
      <c r="A39" s="53"/>
      <c r="B39" s="41" t="s">
        <v>135</v>
      </c>
      <c r="C39" s="44"/>
      <c r="D39" s="45"/>
      <c r="E39" s="45"/>
      <c r="F39" s="98">
        <v>8880</v>
      </c>
      <c r="H39" s="98">
        <v>9600</v>
      </c>
      <c r="I39" s="98">
        <f t="shared" si="3"/>
        <v>720</v>
      </c>
      <c r="J39" s="131">
        <f t="shared" si="4"/>
        <v>8.1081081081081086E-2</v>
      </c>
      <c r="K39" s="164"/>
      <c r="L39" s="165"/>
      <c r="M39" s="165"/>
      <c r="N39" s="165"/>
      <c r="O39" s="165"/>
      <c r="P39" s="165"/>
      <c r="Q39" s="165"/>
    </row>
    <row r="40" spans="1:18" x14ac:dyDescent="0.25">
      <c r="A40" s="53" t="s">
        <v>58</v>
      </c>
      <c r="B40" s="41" t="s">
        <v>48</v>
      </c>
      <c r="C40" s="44">
        <v>103794</v>
      </c>
      <c r="D40" s="45"/>
      <c r="E40" s="45">
        <v>0</v>
      </c>
      <c r="F40" s="98">
        <v>120000</v>
      </c>
      <c r="H40" s="98">
        <f>132000+10000</f>
        <v>142000</v>
      </c>
      <c r="I40" s="98">
        <f t="shared" si="3"/>
        <v>22000</v>
      </c>
      <c r="J40" s="131">
        <f t="shared" si="4"/>
        <v>0.18333333333333332</v>
      </c>
      <c r="K40" s="164"/>
      <c r="L40" s="165"/>
      <c r="M40" s="165"/>
      <c r="N40" s="165"/>
      <c r="O40" s="165"/>
      <c r="P40" s="165"/>
      <c r="Q40" s="165"/>
    </row>
    <row r="41" spans="1:18" ht="17.25" x14ac:dyDescent="0.4">
      <c r="A41" s="53" t="s">
        <v>16</v>
      </c>
      <c r="B41" s="41" t="s">
        <v>182</v>
      </c>
      <c r="C41" s="46">
        <v>0</v>
      </c>
      <c r="D41" s="47">
        <v>0</v>
      </c>
      <c r="E41" s="47">
        <v>0</v>
      </c>
      <c r="F41" s="98">
        <v>55600</v>
      </c>
      <c r="G41" s="38"/>
      <c r="H41" s="98">
        <v>60000</v>
      </c>
      <c r="I41" s="98">
        <f>H41-F41</f>
        <v>4400</v>
      </c>
      <c r="J41" s="131">
        <f t="shared" si="4"/>
        <v>7.9136690647482008E-2</v>
      </c>
      <c r="K41" s="164"/>
      <c r="L41" s="165"/>
      <c r="M41" s="165"/>
      <c r="N41" s="165"/>
      <c r="O41" s="165"/>
      <c r="P41" s="165"/>
      <c r="Q41" s="165"/>
      <c r="R41" s="116" t="s">
        <v>394</v>
      </c>
    </row>
    <row r="42" spans="1:18" s="2" customFormat="1" ht="17.25" x14ac:dyDescent="0.4">
      <c r="A42" s="22" t="s">
        <v>38</v>
      </c>
      <c r="B42" s="63"/>
      <c r="C42" s="64">
        <f>SUM(C30:C41)</f>
        <v>3572897</v>
      </c>
      <c r="D42" s="65">
        <f>SUM(D30:D41)</f>
        <v>-153348</v>
      </c>
      <c r="E42" s="65">
        <f>SUM(E30:E41)</f>
        <v>0</v>
      </c>
      <c r="F42" s="92">
        <f>SUM(F30:F41)</f>
        <v>7325511</v>
      </c>
      <c r="G42" s="92">
        <f t="shared" ref="G42:I42" si="5">SUM(G30:G41)</f>
        <v>0</v>
      </c>
      <c r="H42" s="92">
        <f t="shared" si="5"/>
        <v>8242652</v>
      </c>
      <c r="I42" s="92">
        <f t="shared" si="5"/>
        <v>917141</v>
      </c>
      <c r="J42" s="132">
        <f>I42/F42</f>
        <v>0.12519822849218301</v>
      </c>
      <c r="K42" s="178">
        <f>H42/H104</f>
        <v>0.77665288331482618</v>
      </c>
    </row>
    <row r="43" spans="1:18" x14ac:dyDescent="0.25">
      <c r="C43" s="17"/>
      <c r="D43" s="11"/>
      <c r="E43" s="11"/>
      <c r="F43" s="90"/>
      <c r="H43" s="90"/>
      <c r="I43" s="90"/>
    </row>
    <row r="44" spans="1:18" x14ac:dyDescent="0.25">
      <c r="A44" s="22" t="s">
        <v>39</v>
      </c>
      <c r="B44" s="25"/>
      <c r="C44" s="60"/>
      <c r="D44" s="61"/>
      <c r="E44" s="61"/>
      <c r="F44" s="91"/>
      <c r="H44" s="91"/>
      <c r="I44" s="91"/>
      <c r="J44" s="77"/>
    </row>
    <row r="45" spans="1:18" x14ac:dyDescent="0.25">
      <c r="A45" s="53" t="s">
        <v>74</v>
      </c>
      <c r="B45" s="41" t="s">
        <v>40</v>
      </c>
      <c r="C45" s="44">
        <v>8300</v>
      </c>
      <c r="D45" s="45">
        <v>0</v>
      </c>
      <c r="E45" s="45">
        <v>0</v>
      </c>
      <c r="F45" s="98">
        <v>13000</v>
      </c>
      <c r="H45" s="98">
        <v>17500</v>
      </c>
      <c r="I45" s="98">
        <f>H45-F45</f>
        <v>4500</v>
      </c>
      <c r="J45" s="131">
        <f>I45/F45</f>
        <v>0.34615384615384615</v>
      </c>
    </row>
    <row r="46" spans="1:18" x14ac:dyDescent="0.25">
      <c r="A46" s="53" t="s">
        <v>76</v>
      </c>
      <c r="B46" s="41" t="s">
        <v>59</v>
      </c>
      <c r="C46" s="44">
        <v>31000</v>
      </c>
      <c r="D46" s="45">
        <v>0</v>
      </c>
      <c r="E46" s="45">
        <v>0</v>
      </c>
      <c r="F46" s="98">
        <v>40000</v>
      </c>
      <c r="H46" s="98">
        <v>30000</v>
      </c>
      <c r="I46" s="98">
        <f t="shared" ref="I46:I78" si="6">H46-F46</f>
        <v>-10000</v>
      </c>
      <c r="J46" s="131">
        <f t="shared" ref="J46:J79" si="7">I46/F46</f>
        <v>-0.25</v>
      </c>
    </row>
    <row r="47" spans="1:18" x14ac:dyDescent="0.25">
      <c r="A47" s="53" t="s">
        <v>77</v>
      </c>
      <c r="B47" s="41" t="s">
        <v>60</v>
      </c>
      <c r="C47" s="44">
        <v>23353</v>
      </c>
      <c r="D47" s="45">
        <v>0</v>
      </c>
      <c r="E47" s="45">
        <v>0</v>
      </c>
      <c r="F47" s="98">
        <v>45000</v>
      </c>
      <c r="H47" s="98">
        <v>55000</v>
      </c>
      <c r="I47" s="98">
        <f t="shared" si="6"/>
        <v>10000</v>
      </c>
      <c r="J47" s="131">
        <f t="shared" si="7"/>
        <v>0.22222222222222221</v>
      </c>
    </row>
    <row r="48" spans="1:18" x14ac:dyDescent="0.25">
      <c r="A48" s="53" t="s">
        <v>78</v>
      </c>
      <c r="B48" s="41" t="s">
        <v>61</v>
      </c>
      <c r="C48" s="44">
        <v>63211</v>
      </c>
      <c r="D48" s="45">
        <v>0</v>
      </c>
      <c r="E48" s="45">
        <v>0</v>
      </c>
      <c r="F48" s="98">
        <v>174832</v>
      </c>
      <c r="H48" s="98">
        <v>205006</v>
      </c>
      <c r="I48" s="98">
        <f t="shared" si="6"/>
        <v>30174</v>
      </c>
      <c r="J48" s="131">
        <f t="shared" si="7"/>
        <v>0.17258854214331473</v>
      </c>
      <c r="K48" s="161" t="s">
        <v>390</v>
      </c>
      <c r="N48" s="105">
        <f>50000*0.03</f>
        <v>1500</v>
      </c>
      <c r="O48" s="105">
        <f>H11-50000</f>
        <v>10175320</v>
      </c>
    </row>
    <row r="49" spans="1:15" x14ac:dyDescent="0.25">
      <c r="A49" s="53" t="s">
        <v>79</v>
      </c>
      <c r="B49" s="41" t="s">
        <v>62</v>
      </c>
      <c r="C49" s="44">
        <v>20000</v>
      </c>
      <c r="D49" s="45">
        <v>0</v>
      </c>
      <c r="E49" s="45">
        <v>0</v>
      </c>
      <c r="F49" s="98">
        <v>11000</v>
      </c>
      <c r="H49" s="98">
        <v>15000</v>
      </c>
      <c r="I49" s="98">
        <f t="shared" si="6"/>
        <v>4000</v>
      </c>
      <c r="J49" s="131">
        <f t="shared" si="7"/>
        <v>0.36363636363636365</v>
      </c>
      <c r="O49" s="103">
        <f>O48*0.02</f>
        <v>203506.4</v>
      </c>
    </row>
    <row r="50" spans="1:15" x14ac:dyDescent="0.25">
      <c r="A50" s="53" t="s">
        <v>75</v>
      </c>
      <c r="B50" s="41" t="s">
        <v>155</v>
      </c>
      <c r="C50" s="44"/>
      <c r="D50" s="45"/>
      <c r="E50" s="45"/>
      <c r="F50" s="98">
        <v>9500</v>
      </c>
      <c r="H50" s="98">
        <v>10000</v>
      </c>
      <c r="I50" s="98">
        <f t="shared" si="6"/>
        <v>500</v>
      </c>
      <c r="J50" s="131">
        <f t="shared" si="7"/>
        <v>5.2631578947368418E-2</v>
      </c>
      <c r="O50" s="105">
        <f>SUM(N48,O49)</f>
        <v>205006.4</v>
      </c>
    </row>
    <row r="51" spans="1:15" x14ac:dyDescent="0.25">
      <c r="A51" s="53" t="s">
        <v>136</v>
      </c>
      <c r="B51" s="41" t="s">
        <v>63</v>
      </c>
      <c r="C51" s="44">
        <v>35000</v>
      </c>
      <c r="D51" s="45">
        <v>0</v>
      </c>
      <c r="E51" s="45">
        <v>0</v>
      </c>
      <c r="F51" s="98">
        <v>36000</v>
      </c>
      <c r="H51" s="98">
        <v>40000</v>
      </c>
      <c r="I51" s="98">
        <f t="shared" si="6"/>
        <v>4000</v>
      </c>
      <c r="J51" s="131">
        <f t="shared" si="7"/>
        <v>0.1111111111111111</v>
      </c>
    </row>
    <row r="52" spans="1:15" x14ac:dyDescent="0.25">
      <c r="A52" s="53" t="s">
        <v>137</v>
      </c>
      <c r="B52" s="41" t="s">
        <v>64</v>
      </c>
      <c r="C52" s="44">
        <v>12500</v>
      </c>
      <c r="D52" s="45">
        <v>0</v>
      </c>
      <c r="E52" s="45">
        <v>0</v>
      </c>
      <c r="F52" s="98">
        <v>37500</v>
      </c>
      <c r="H52" s="98">
        <v>52000</v>
      </c>
      <c r="I52" s="98">
        <f t="shared" si="6"/>
        <v>14500</v>
      </c>
      <c r="J52" s="131">
        <f t="shared" si="7"/>
        <v>0.38666666666666666</v>
      </c>
      <c r="K52" s="117" t="s">
        <v>387</v>
      </c>
    </row>
    <row r="53" spans="1:15" x14ac:dyDescent="0.25">
      <c r="A53" s="53" t="s">
        <v>138</v>
      </c>
      <c r="B53" s="41" t="s">
        <v>65</v>
      </c>
      <c r="C53" s="44">
        <v>15000</v>
      </c>
      <c r="D53" s="45">
        <v>0</v>
      </c>
      <c r="E53" s="45">
        <v>0</v>
      </c>
      <c r="F53" s="98">
        <v>40000</v>
      </c>
      <c r="H53" s="98">
        <f>F53*1.03</f>
        <v>41200</v>
      </c>
      <c r="I53" s="98">
        <f t="shared" si="6"/>
        <v>1200</v>
      </c>
      <c r="J53" s="131">
        <f t="shared" si="7"/>
        <v>0.03</v>
      </c>
      <c r="K53" s="106"/>
    </row>
    <row r="54" spans="1:15" x14ac:dyDescent="0.25">
      <c r="A54" s="53" t="s">
        <v>139</v>
      </c>
      <c r="B54" s="41" t="s">
        <v>118</v>
      </c>
      <c r="C54" s="44">
        <v>600</v>
      </c>
      <c r="D54" s="45">
        <v>0</v>
      </c>
      <c r="E54" s="45">
        <v>0</v>
      </c>
      <c r="F54" s="98">
        <v>1000</v>
      </c>
      <c r="H54" s="98">
        <v>1500</v>
      </c>
      <c r="I54" s="98">
        <f t="shared" si="6"/>
        <v>500</v>
      </c>
      <c r="J54" s="131">
        <f t="shared" si="7"/>
        <v>0.5</v>
      </c>
    </row>
    <row r="55" spans="1:15" x14ac:dyDescent="0.25">
      <c r="A55" s="53" t="s">
        <v>140</v>
      </c>
      <c r="B55" s="41" t="s">
        <v>119</v>
      </c>
      <c r="C55" s="44">
        <v>900</v>
      </c>
      <c r="D55" s="45">
        <v>0</v>
      </c>
      <c r="E55" s="45">
        <v>0</v>
      </c>
      <c r="F55" s="98">
        <v>140000</v>
      </c>
      <c r="H55" s="98">
        <f>F55*1.03</f>
        <v>144200</v>
      </c>
      <c r="I55" s="98">
        <f t="shared" si="6"/>
        <v>4200</v>
      </c>
      <c r="J55" s="131">
        <f t="shared" si="7"/>
        <v>0.03</v>
      </c>
    </row>
    <row r="56" spans="1:15" x14ac:dyDescent="0.25">
      <c r="A56" s="53" t="s">
        <v>141</v>
      </c>
      <c r="B56" s="41" t="s">
        <v>66</v>
      </c>
      <c r="C56" s="44">
        <v>15000</v>
      </c>
      <c r="D56" s="45">
        <v>0</v>
      </c>
      <c r="E56" s="45">
        <v>0</v>
      </c>
      <c r="F56" s="98">
        <v>226000</v>
      </c>
      <c r="H56" s="98">
        <v>230000</v>
      </c>
      <c r="I56" s="98">
        <f t="shared" si="6"/>
        <v>4000</v>
      </c>
      <c r="J56" s="131">
        <f t="shared" si="7"/>
        <v>1.7699115044247787E-2</v>
      </c>
    </row>
    <row r="57" spans="1:15" x14ac:dyDescent="0.25">
      <c r="A57" s="53" t="s">
        <v>142</v>
      </c>
      <c r="B57" s="41" t="s">
        <v>67</v>
      </c>
      <c r="C57" s="44">
        <v>61500</v>
      </c>
      <c r="D57" s="45">
        <v>55000</v>
      </c>
      <c r="E57" s="45">
        <v>0</v>
      </c>
      <c r="F57" s="98">
        <v>88739</v>
      </c>
      <c r="H57" s="98">
        <v>95000</v>
      </c>
      <c r="I57" s="98">
        <f t="shared" si="6"/>
        <v>6261</v>
      </c>
      <c r="J57" s="131">
        <f t="shared" si="7"/>
        <v>7.0555223746041756E-2</v>
      </c>
    </row>
    <row r="58" spans="1:15" x14ac:dyDescent="0.25">
      <c r="A58" s="53" t="s">
        <v>143</v>
      </c>
      <c r="B58" s="41" t="s">
        <v>68</v>
      </c>
      <c r="C58" s="44">
        <v>39000</v>
      </c>
      <c r="D58" s="45">
        <v>0</v>
      </c>
      <c r="E58" s="45">
        <v>0</v>
      </c>
      <c r="F58" s="98">
        <v>31352</v>
      </c>
      <c r="H58" s="98">
        <v>40000</v>
      </c>
      <c r="I58" s="98">
        <f t="shared" si="6"/>
        <v>8648</v>
      </c>
      <c r="J58" s="131">
        <f t="shared" si="7"/>
        <v>0.27583567236539935</v>
      </c>
      <c r="K58" s="117" t="s">
        <v>239</v>
      </c>
    </row>
    <row r="59" spans="1:15" x14ac:dyDescent="0.25">
      <c r="A59" s="53" t="s">
        <v>80</v>
      </c>
      <c r="B59" s="41" t="s">
        <v>69</v>
      </c>
      <c r="C59" s="44">
        <v>20000</v>
      </c>
      <c r="D59" s="45">
        <v>0</v>
      </c>
      <c r="E59" s="45">
        <v>0</v>
      </c>
      <c r="F59" s="98">
        <v>89300</v>
      </c>
      <c r="H59" s="98">
        <v>120000</v>
      </c>
      <c r="I59" s="98">
        <f t="shared" si="6"/>
        <v>30700</v>
      </c>
      <c r="J59" s="131">
        <f t="shared" si="7"/>
        <v>0.34378499440089588</v>
      </c>
      <c r="K59" s="117" t="s">
        <v>238</v>
      </c>
    </row>
    <row r="60" spans="1:15" s="2" customFormat="1" ht="15" customHeight="1" x14ac:dyDescent="0.25">
      <c r="A60" s="53" t="s">
        <v>81</v>
      </c>
      <c r="B60" s="67" t="s">
        <v>70</v>
      </c>
      <c r="C60" s="68">
        <v>2800</v>
      </c>
      <c r="D60" s="69">
        <v>0</v>
      </c>
      <c r="E60" s="69">
        <v>0</v>
      </c>
      <c r="F60" s="98">
        <v>3000</v>
      </c>
      <c r="G60" s="37"/>
      <c r="H60" s="98">
        <f>F60*1.03</f>
        <v>3090</v>
      </c>
      <c r="I60" s="98">
        <f t="shared" si="6"/>
        <v>90</v>
      </c>
      <c r="J60" s="131">
        <f t="shared" si="7"/>
        <v>0.03</v>
      </c>
      <c r="K60" s="3"/>
    </row>
    <row r="61" spans="1:15" x14ac:dyDescent="0.25">
      <c r="A61" s="53" t="s">
        <v>82</v>
      </c>
      <c r="B61" s="41" t="s">
        <v>71</v>
      </c>
      <c r="C61" s="44">
        <v>250</v>
      </c>
      <c r="D61" s="45">
        <v>0</v>
      </c>
      <c r="E61" s="45">
        <v>0</v>
      </c>
      <c r="F61" s="98">
        <v>0</v>
      </c>
      <c r="H61" s="98"/>
      <c r="I61" s="98">
        <f t="shared" si="6"/>
        <v>0</v>
      </c>
      <c r="J61" s="131"/>
    </row>
    <row r="62" spans="1:15" x14ac:dyDescent="0.25">
      <c r="A62" s="53" t="s">
        <v>83</v>
      </c>
      <c r="B62" s="67" t="s">
        <v>120</v>
      </c>
      <c r="C62" s="44">
        <v>4500</v>
      </c>
      <c r="D62" s="45">
        <v>0</v>
      </c>
      <c r="E62" s="45">
        <v>0</v>
      </c>
      <c r="F62" s="98">
        <v>25000</v>
      </c>
      <c r="H62" s="98">
        <v>26000</v>
      </c>
      <c r="I62" s="98">
        <f t="shared" si="6"/>
        <v>1000</v>
      </c>
      <c r="J62" s="131">
        <f t="shared" si="7"/>
        <v>0.04</v>
      </c>
    </row>
    <row r="63" spans="1:15" x14ac:dyDescent="0.25">
      <c r="A63" s="53" t="s">
        <v>144</v>
      </c>
      <c r="B63" s="67" t="s">
        <v>122</v>
      </c>
      <c r="C63" s="44"/>
      <c r="D63" s="45"/>
      <c r="E63" s="45"/>
      <c r="F63" s="98">
        <v>2000</v>
      </c>
      <c r="H63" s="98">
        <v>3000</v>
      </c>
      <c r="I63" s="98">
        <f t="shared" si="6"/>
        <v>1000</v>
      </c>
      <c r="J63" s="131">
        <f t="shared" si="7"/>
        <v>0.5</v>
      </c>
    </row>
    <row r="64" spans="1:15" x14ac:dyDescent="0.25">
      <c r="A64" s="53" t="s">
        <v>145</v>
      </c>
      <c r="B64" s="41" t="s">
        <v>72</v>
      </c>
      <c r="C64" s="44">
        <v>3000</v>
      </c>
      <c r="D64" s="45">
        <v>0</v>
      </c>
      <c r="E64" s="45">
        <v>0</v>
      </c>
      <c r="F64" s="98">
        <v>3500</v>
      </c>
      <c r="H64" s="98">
        <f>F64*1.03</f>
        <v>3605</v>
      </c>
      <c r="I64" s="98">
        <f t="shared" si="6"/>
        <v>105</v>
      </c>
      <c r="J64" s="131">
        <f t="shared" si="7"/>
        <v>0.03</v>
      </c>
    </row>
    <row r="65" spans="1:11" x14ac:dyDescent="0.25">
      <c r="A65" s="53" t="s">
        <v>146</v>
      </c>
      <c r="B65" s="41" t="s">
        <v>177</v>
      </c>
      <c r="C65" s="44">
        <v>15000</v>
      </c>
      <c r="D65" s="45">
        <v>0</v>
      </c>
      <c r="E65" s="45">
        <v>0</v>
      </c>
      <c r="F65" s="98">
        <v>30000</v>
      </c>
      <c r="H65" s="98">
        <v>30000</v>
      </c>
      <c r="I65" s="98">
        <f t="shared" si="6"/>
        <v>0</v>
      </c>
      <c r="J65" s="131">
        <f t="shared" si="7"/>
        <v>0</v>
      </c>
    </row>
    <row r="66" spans="1:11" x14ac:dyDescent="0.25">
      <c r="A66" s="53" t="s">
        <v>147</v>
      </c>
      <c r="B66" s="41" t="s">
        <v>179</v>
      </c>
      <c r="C66" s="44">
        <v>10500</v>
      </c>
      <c r="D66" s="45">
        <v>0</v>
      </c>
      <c r="E66" s="45">
        <v>0</v>
      </c>
      <c r="F66" s="98">
        <v>20000</v>
      </c>
      <c r="H66" s="98">
        <v>15000</v>
      </c>
      <c r="I66" s="98">
        <f t="shared" si="6"/>
        <v>-5000</v>
      </c>
      <c r="J66" s="131">
        <f t="shared" si="7"/>
        <v>-0.25</v>
      </c>
    </row>
    <row r="67" spans="1:11" x14ac:dyDescent="0.25">
      <c r="A67" s="53" t="s">
        <v>84</v>
      </c>
      <c r="B67" s="41" t="s">
        <v>92</v>
      </c>
      <c r="C67" s="44">
        <v>25000</v>
      </c>
      <c r="D67" s="45">
        <v>0</v>
      </c>
      <c r="E67" s="45">
        <v>0</v>
      </c>
      <c r="F67" s="98">
        <v>20000</v>
      </c>
      <c r="H67" s="98">
        <v>25000</v>
      </c>
      <c r="I67" s="98">
        <f t="shared" si="6"/>
        <v>5000</v>
      </c>
      <c r="J67" s="131">
        <f t="shared" si="7"/>
        <v>0.25</v>
      </c>
    </row>
    <row r="68" spans="1:11" x14ac:dyDescent="0.25">
      <c r="A68" s="53" t="s">
        <v>148</v>
      </c>
      <c r="B68" s="41" t="s">
        <v>108</v>
      </c>
      <c r="C68" s="44">
        <v>5750</v>
      </c>
      <c r="D68" s="45">
        <v>0</v>
      </c>
      <c r="E68" s="45">
        <v>0</v>
      </c>
      <c r="F68" s="98">
        <v>15000</v>
      </c>
      <c r="H68" s="98">
        <v>16000</v>
      </c>
      <c r="I68" s="98">
        <f t="shared" si="6"/>
        <v>1000</v>
      </c>
      <c r="J68" s="131">
        <f t="shared" si="7"/>
        <v>6.6666666666666666E-2</v>
      </c>
    </row>
    <row r="69" spans="1:11" x14ac:dyDescent="0.25">
      <c r="A69" s="53" t="s">
        <v>149</v>
      </c>
      <c r="B69" s="41" t="s">
        <v>123</v>
      </c>
      <c r="C69" s="44"/>
      <c r="D69" s="45"/>
      <c r="E69" s="45"/>
      <c r="F69" s="98">
        <v>4000</v>
      </c>
      <c r="H69" s="98">
        <v>2500</v>
      </c>
      <c r="I69" s="98">
        <f t="shared" si="6"/>
        <v>-1500</v>
      </c>
      <c r="J69" s="131">
        <f t="shared" si="7"/>
        <v>-0.375</v>
      </c>
    </row>
    <row r="70" spans="1:11" x14ac:dyDescent="0.25">
      <c r="A70" s="53" t="s">
        <v>150</v>
      </c>
      <c r="B70" s="41" t="s">
        <v>93</v>
      </c>
      <c r="C70" s="44">
        <v>40625</v>
      </c>
      <c r="D70" s="45">
        <v>0</v>
      </c>
      <c r="E70" s="45">
        <v>0</v>
      </c>
      <c r="F70" s="98">
        <v>70000</v>
      </c>
      <c r="H70" s="98">
        <v>70000</v>
      </c>
      <c r="I70" s="98">
        <f t="shared" si="6"/>
        <v>0</v>
      </c>
      <c r="J70" s="131">
        <f t="shared" si="7"/>
        <v>0</v>
      </c>
      <c r="K70" s="117" t="s">
        <v>232</v>
      </c>
    </row>
    <row r="71" spans="1:11" x14ac:dyDescent="0.25">
      <c r="A71" s="53" t="s">
        <v>85</v>
      </c>
      <c r="B71" s="41" t="s">
        <v>94</v>
      </c>
      <c r="C71" s="44">
        <v>21000</v>
      </c>
      <c r="D71" s="45">
        <v>0</v>
      </c>
      <c r="E71" s="45">
        <v>0</v>
      </c>
      <c r="F71" s="98">
        <v>30000</v>
      </c>
      <c r="H71" s="98">
        <v>35000</v>
      </c>
      <c r="I71" s="98">
        <f t="shared" si="6"/>
        <v>5000</v>
      </c>
      <c r="J71" s="131">
        <f t="shared" si="7"/>
        <v>0.16666666666666666</v>
      </c>
    </row>
    <row r="72" spans="1:11" x14ac:dyDescent="0.25">
      <c r="A72" s="53" t="s">
        <v>86</v>
      </c>
      <c r="B72" s="41" t="s">
        <v>95</v>
      </c>
      <c r="C72" s="44">
        <v>1500</v>
      </c>
      <c r="D72" s="45">
        <v>0</v>
      </c>
      <c r="E72" s="45">
        <v>0</v>
      </c>
      <c r="F72" s="98">
        <v>15000</v>
      </c>
      <c r="H72" s="98">
        <v>20000</v>
      </c>
      <c r="I72" s="98">
        <f t="shared" si="6"/>
        <v>5000</v>
      </c>
      <c r="J72" s="131">
        <f t="shared" si="7"/>
        <v>0.33333333333333331</v>
      </c>
    </row>
    <row r="73" spans="1:11" x14ac:dyDescent="0.25">
      <c r="A73" s="53" t="s">
        <v>87</v>
      </c>
      <c r="B73" s="41" t="s">
        <v>186</v>
      </c>
      <c r="C73" s="44">
        <v>4000</v>
      </c>
      <c r="D73" s="45">
        <v>0</v>
      </c>
      <c r="E73" s="45">
        <v>0</v>
      </c>
      <c r="F73" s="98">
        <v>70000</v>
      </c>
      <c r="H73" s="98">
        <v>95000</v>
      </c>
      <c r="I73" s="98">
        <f t="shared" si="6"/>
        <v>25000</v>
      </c>
      <c r="J73" s="131">
        <f t="shared" si="7"/>
        <v>0.35714285714285715</v>
      </c>
      <c r="K73" s="117" t="s">
        <v>362</v>
      </c>
    </row>
    <row r="74" spans="1:11" x14ac:dyDescent="0.25">
      <c r="A74" s="53" t="s">
        <v>88</v>
      </c>
      <c r="B74" s="41" t="s">
        <v>96</v>
      </c>
      <c r="C74" s="44">
        <v>1500</v>
      </c>
      <c r="D74" s="45">
        <v>0</v>
      </c>
      <c r="E74" s="45">
        <v>0</v>
      </c>
      <c r="F74" s="98">
        <v>5000</v>
      </c>
      <c r="H74" s="98">
        <v>5000</v>
      </c>
      <c r="I74" s="98">
        <f t="shared" si="6"/>
        <v>0</v>
      </c>
      <c r="J74" s="131">
        <f t="shared" si="7"/>
        <v>0</v>
      </c>
    </row>
    <row r="75" spans="1:11" x14ac:dyDescent="0.25">
      <c r="A75" s="53" t="s">
        <v>151</v>
      </c>
      <c r="B75" s="41" t="s">
        <v>97</v>
      </c>
      <c r="C75" s="44"/>
      <c r="D75" s="45">
        <v>0</v>
      </c>
      <c r="E75" s="45">
        <v>0</v>
      </c>
      <c r="F75" s="98">
        <v>5000</v>
      </c>
      <c r="H75" s="98">
        <v>5000</v>
      </c>
      <c r="I75" s="98">
        <f t="shared" si="6"/>
        <v>0</v>
      </c>
      <c r="J75" s="131">
        <f t="shared" si="7"/>
        <v>0</v>
      </c>
    </row>
    <row r="76" spans="1:11" x14ac:dyDescent="0.25">
      <c r="A76" s="53" t="s">
        <v>89</v>
      </c>
      <c r="B76" s="41" t="s">
        <v>98</v>
      </c>
      <c r="C76" s="44">
        <v>2500</v>
      </c>
      <c r="D76" s="45">
        <v>0</v>
      </c>
      <c r="E76" s="45">
        <v>0</v>
      </c>
      <c r="F76" s="98">
        <v>2000</v>
      </c>
      <c r="H76" s="98">
        <v>2000</v>
      </c>
      <c r="I76" s="98">
        <f t="shared" si="6"/>
        <v>0</v>
      </c>
      <c r="J76" s="131">
        <f t="shared" si="7"/>
        <v>0</v>
      </c>
    </row>
    <row r="77" spans="1:11" x14ac:dyDescent="0.25">
      <c r="A77" s="53" t="s">
        <v>121</v>
      </c>
      <c r="B77" s="41" t="s">
        <v>99</v>
      </c>
      <c r="C77" s="44">
        <v>7800</v>
      </c>
      <c r="D77" s="45">
        <v>0</v>
      </c>
      <c r="E77" s="45">
        <v>0</v>
      </c>
      <c r="F77" s="98">
        <v>0</v>
      </c>
      <c r="H77" s="98">
        <v>0</v>
      </c>
      <c r="I77" s="98">
        <f t="shared" si="6"/>
        <v>0</v>
      </c>
      <c r="J77" s="131"/>
    </row>
    <row r="78" spans="1:11" x14ac:dyDescent="0.25">
      <c r="A78" s="53" t="s">
        <v>90</v>
      </c>
      <c r="B78" s="41" t="s">
        <v>100</v>
      </c>
      <c r="C78" s="44">
        <v>52500</v>
      </c>
      <c r="D78" s="45">
        <v>0</v>
      </c>
      <c r="E78" s="45">
        <v>0</v>
      </c>
      <c r="F78" s="98">
        <v>48935</v>
      </c>
      <c r="H78" s="98">
        <v>69050</v>
      </c>
      <c r="I78" s="98">
        <f t="shared" si="6"/>
        <v>20115</v>
      </c>
      <c r="J78" s="131">
        <f t="shared" si="7"/>
        <v>0.4110554817615204</v>
      </c>
      <c r="K78" s="117" t="s">
        <v>363</v>
      </c>
    </row>
    <row r="79" spans="1:11" x14ac:dyDescent="0.25">
      <c r="A79" s="53" t="s">
        <v>91</v>
      </c>
      <c r="B79" s="41" t="s">
        <v>101</v>
      </c>
      <c r="C79" s="44">
        <v>4800</v>
      </c>
      <c r="D79" s="45">
        <v>0</v>
      </c>
      <c r="E79" s="45">
        <v>0</v>
      </c>
      <c r="F79" s="98">
        <v>6000</v>
      </c>
      <c r="H79" s="98">
        <v>7000</v>
      </c>
      <c r="I79" s="98">
        <f>H79-F79</f>
        <v>1000</v>
      </c>
      <c r="J79" s="131">
        <f t="shared" si="7"/>
        <v>0.16666666666666666</v>
      </c>
    </row>
    <row r="80" spans="1:11" s="2" customFormat="1" ht="17.25" x14ac:dyDescent="0.4">
      <c r="A80" s="22" t="s">
        <v>73</v>
      </c>
      <c r="B80" s="21"/>
      <c r="C80" s="48">
        <f t="shared" ref="C80:I80" si="8">SUM(C45:C79)</f>
        <v>548389</v>
      </c>
      <c r="D80" s="49">
        <f t="shared" si="8"/>
        <v>55000</v>
      </c>
      <c r="E80" s="62">
        <f t="shared" si="8"/>
        <v>0</v>
      </c>
      <c r="F80" s="92">
        <f t="shared" si="8"/>
        <v>1357658</v>
      </c>
      <c r="G80" s="92">
        <f t="shared" si="8"/>
        <v>0</v>
      </c>
      <c r="H80" s="92">
        <f t="shared" si="8"/>
        <v>1528651</v>
      </c>
      <c r="I80" s="92">
        <f t="shared" si="8"/>
        <v>170993</v>
      </c>
      <c r="J80" s="132">
        <f>I80/F80</f>
        <v>0.12594703526219417</v>
      </c>
      <c r="K80" s="178">
        <f>H80/H104</f>
        <v>0.14403510019980129</v>
      </c>
    </row>
    <row r="81" spans="1:11" x14ac:dyDescent="0.25">
      <c r="C81" s="17"/>
      <c r="D81" s="11"/>
      <c r="E81" s="11"/>
      <c r="F81" s="90"/>
      <c r="H81" s="90"/>
      <c r="I81" s="90"/>
    </row>
    <row r="82" spans="1:11" x14ac:dyDescent="0.25">
      <c r="A82" s="22" t="s">
        <v>102</v>
      </c>
      <c r="B82" s="25"/>
      <c r="C82" s="50"/>
      <c r="D82" s="51"/>
      <c r="E82" s="51"/>
      <c r="F82" s="92"/>
      <c r="H82" s="92"/>
      <c r="I82" s="92"/>
      <c r="J82" s="76"/>
    </row>
    <row r="83" spans="1:11" x14ac:dyDescent="0.25">
      <c r="A83" s="40" t="s">
        <v>156</v>
      </c>
      <c r="B83" s="41" t="s">
        <v>7</v>
      </c>
      <c r="C83" s="44">
        <v>350000</v>
      </c>
      <c r="D83" s="45"/>
      <c r="E83" s="45">
        <v>0</v>
      </c>
      <c r="F83" s="98"/>
      <c r="H83" s="98">
        <v>0</v>
      </c>
      <c r="I83" s="98">
        <f>H83-F83</f>
        <v>0</v>
      </c>
      <c r="J83" s="131"/>
    </row>
    <row r="84" spans="1:11" x14ac:dyDescent="0.25">
      <c r="A84" s="40" t="s">
        <v>157</v>
      </c>
      <c r="B84" s="41" t="s">
        <v>124</v>
      </c>
      <c r="C84" s="44">
        <v>8500</v>
      </c>
      <c r="D84" s="45"/>
      <c r="E84" s="45">
        <v>0</v>
      </c>
      <c r="F84" s="98">
        <v>5000</v>
      </c>
      <c r="H84" s="98"/>
      <c r="I84" s="98">
        <f t="shared" ref="I84:I95" si="9">H84-F84</f>
        <v>-5000</v>
      </c>
      <c r="J84" s="131">
        <f t="shared" ref="J84:J88" si="10">I84/F84</f>
        <v>-1</v>
      </c>
    </row>
    <row r="85" spans="1:11" x14ac:dyDescent="0.25">
      <c r="A85" s="40" t="s">
        <v>158</v>
      </c>
      <c r="B85" s="41" t="s">
        <v>125</v>
      </c>
      <c r="C85" s="44"/>
      <c r="D85" s="45">
        <v>0</v>
      </c>
      <c r="E85" s="45">
        <v>0</v>
      </c>
      <c r="F85" s="98">
        <v>11200</v>
      </c>
      <c r="H85" s="98">
        <f>14700-6500</f>
        <v>8200</v>
      </c>
      <c r="I85" s="98">
        <f t="shared" si="9"/>
        <v>-3000</v>
      </c>
      <c r="J85" s="131">
        <f t="shared" si="10"/>
        <v>-0.26785714285714285</v>
      </c>
      <c r="K85" s="117" t="s">
        <v>393</v>
      </c>
    </row>
    <row r="86" spans="1:11" x14ac:dyDescent="0.25">
      <c r="A86" s="40" t="s">
        <v>159</v>
      </c>
      <c r="B86" s="41" t="s">
        <v>8</v>
      </c>
      <c r="C86" s="44">
        <v>0</v>
      </c>
      <c r="D86" s="45">
        <v>0</v>
      </c>
      <c r="E86" s="45">
        <v>0</v>
      </c>
      <c r="F86" s="98">
        <v>0</v>
      </c>
      <c r="H86" s="98">
        <f>23035+4500</f>
        <v>27535</v>
      </c>
      <c r="I86" s="98">
        <f t="shared" si="9"/>
        <v>27535</v>
      </c>
      <c r="J86" s="131"/>
      <c r="K86" s="117" t="s">
        <v>377</v>
      </c>
    </row>
    <row r="87" spans="1:11" x14ac:dyDescent="0.25">
      <c r="A87" s="40" t="s">
        <v>160</v>
      </c>
      <c r="B87" s="41" t="s">
        <v>13</v>
      </c>
      <c r="C87" s="44"/>
      <c r="D87" s="45"/>
      <c r="E87" s="45"/>
      <c r="F87" s="98">
        <v>8000</v>
      </c>
      <c r="H87" s="98">
        <v>23701</v>
      </c>
      <c r="I87" s="98">
        <f t="shared" si="9"/>
        <v>15701</v>
      </c>
      <c r="J87" s="131">
        <f t="shared" si="10"/>
        <v>1.9626250000000001</v>
      </c>
      <c r="K87" s="117" t="s">
        <v>378</v>
      </c>
    </row>
    <row r="88" spans="1:11" x14ac:dyDescent="0.25">
      <c r="A88" s="40" t="s">
        <v>161</v>
      </c>
      <c r="B88" s="41" t="s">
        <v>126</v>
      </c>
      <c r="C88" s="44"/>
      <c r="D88" s="45"/>
      <c r="E88" s="45">
        <v>0</v>
      </c>
      <c r="F88" s="98">
        <v>5000</v>
      </c>
      <c r="H88" s="98"/>
      <c r="I88" s="98">
        <f t="shared" si="9"/>
        <v>-5000</v>
      </c>
      <c r="J88" s="131">
        <f t="shared" si="10"/>
        <v>-1</v>
      </c>
    </row>
    <row r="89" spans="1:11" x14ac:dyDescent="0.25">
      <c r="A89" s="40" t="s">
        <v>162</v>
      </c>
      <c r="B89" s="41" t="s">
        <v>152</v>
      </c>
      <c r="C89" s="44"/>
      <c r="D89" s="45"/>
      <c r="E89" s="45"/>
      <c r="F89" s="98">
        <v>0</v>
      </c>
      <c r="H89" s="98"/>
      <c r="I89" s="98">
        <f t="shared" si="9"/>
        <v>0</v>
      </c>
      <c r="J89" s="131"/>
    </row>
    <row r="90" spans="1:11" x14ac:dyDescent="0.25">
      <c r="A90" s="40"/>
      <c r="B90" s="41" t="s">
        <v>167</v>
      </c>
      <c r="C90" s="44"/>
      <c r="D90" s="45"/>
      <c r="E90" s="45"/>
      <c r="F90" s="98">
        <v>0</v>
      </c>
      <c r="H90" s="98"/>
      <c r="I90" s="98">
        <f t="shared" si="9"/>
        <v>0</v>
      </c>
      <c r="J90" s="131"/>
    </row>
    <row r="91" spans="1:11" x14ac:dyDescent="0.25">
      <c r="A91" s="40"/>
      <c r="B91" s="41" t="s">
        <v>172</v>
      </c>
      <c r="C91" s="44"/>
      <c r="D91" s="45"/>
      <c r="E91" s="45"/>
      <c r="F91" s="98">
        <v>0</v>
      </c>
      <c r="H91" s="98"/>
      <c r="I91" s="98">
        <f t="shared" si="9"/>
        <v>0</v>
      </c>
      <c r="J91" s="131"/>
    </row>
    <row r="92" spans="1:11" x14ac:dyDescent="0.25">
      <c r="A92" s="40" t="s">
        <v>163</v>
      </c>
      <c r="B92" s="41" t="s">
        <v>2</v>
      </c>
      <c r="C92" s="44"/>
      <c r="D92" s="45">
        <v>0</v>
      </c>
      <c r="E92" s="45">
        <v>0</v>
      </c>
      <c r="F92" s="98">
        <v>0</v>
      </c>
      <c r="H92" s="98"/>
      <c r="I92" s="98">
        <f t="shared" si="9"/>
        <v>0</v>
      </c>
      <c r="J92" s="131"/>
    </row>
    <row r="93" spans="1:11" x14ac:dyDescent="0.25">
      <c r="A93" s="40"/>
      <c r="B93" s="41" t="s">
        <v>168</v>
      </c>
      <c r="C93" s="44"/>
      <c r="D93" s="45"/>
      <c r="E93" s="45"/>
      <c r="F93" s="98">
        <v>0</v>
      </c>
      <c r="H93" s="98">
        <v>0</v>
      </c>
      <c r="I93" s="98">
        <f t="shared" si="9"/>
        <v>0</v>
      </c>
      <c r="J93" s="131"/>
    </row>
    <row r="94" spans="1:11" x14ac:dyDescent="0.25">
      <c r="A94" s="40" t="s">
        <v>164</v>
      </c>
      <c r="B94" s="41" t="s">
        <v>3</v>
      </c>
      <c r="C94" s="44">
        <v>3500</v>
      </c>
      <c r="D94" s="45">
        <v>0</v>
      </c>
      <c r="E94" s="45">
        <v>0</v>
      </c>
      <c r="F94" s="98">
        <v>0</v>
      </c>
      <c r="H94" s="98"/>
      <c r="I94" s="98">
        <f t="shared" si="9"/>
        <v>0</v>
      </c>
      <c r="J94" s="131"/>
    </row>
    <row r="95" spans="1:11" x14ac:dyDescent="0.25">
      <c r="A95" s="40" t="s">
        <v>165</v>
      </c>
      <c r="B95" s="41" t="s">
        <v>4</v>
      </c>
      <c r="C95" s="44"/>
      <c r="D95" s="45">
        <v>0</v>
      </c>
      <c r="E95" s="45">
        <v>0</v>
      </c>
      <c r="F95" s="98">
        <v>0</v>
      </c>
      <c r="H95" s="98"/>
      <c r="I95" s="98">
        <f t="shared" si="9"/>
        <v>0</v>
      </c>
      <c r="J95" s="131"/>
    </row>
    <row r="96" spans="1:11" ht="17.25" x14ac:dyDescent="0.4">
      <c r="A96" s="40" t="s">
        <v>166</v>
      </c>
      <c r="B96" s="41" t="s">
        <v>0</v>
      </c>
      <c r="C96" s="46"/>
      <c r="D96" s="47">
        <v>0</v>
      </c>
      <c r="E96" s="47">
        <v>0</v>
      </c>
      <c r="F96" s="98">
        <v>10000</v>
      </c>
      <c r="G96" s="38"/>
      <c r="H96" s="98">
        <v>10000</v>
      </c>
      <c r="I96" s="98">
        <f>H96-F96</f>
        <v>0</v>
      </c>
      <c r="J96" s="131"/>
      <c r="K96" s="117" t="s">
        <v>379</v>
      </c>
    </row>
    <row r="97" spans="1:12" s="2" customFormat="1" x14ac:dyDescent="0.25">
      <c r="A97" s="22" t="s">
        <v>103</v>
      </c>
      <c r="B97" s="25"/>
      <c r="C97" s="50">
        <f>SUM(C83:C96)</f>
        <v>362000</v>
      </c>
      <c r="D97" s="51">
        <f>SUM(D83:D96)</f>
        <v>0</v>
      </c>
      <c r="E97" s="51">
        <f>SUM(E83:E96)</f>
        <v>0</v>
      </c>
      <c r="F97" s="92">
        <f t="shared" ref="F97:I97" si="11">SUM(F83:F96)</f>
        <v>39200</v>
      </c>
      <c r="G97" s="92">
        <f t="shared" si="11"/>
        <v>0</v>
      </c>
      <c r="H97" s="92">
        <f t="shared" si="11"/>
        <v>69436</v>
      </c>
      <c r="I97" s="92">
        <f t="shared" si="11"/>
        <v>30236</v>
      </c>
      <c r="J97" s="132">
        <f>I97/F97</f>
        <v>0.77132653061224488</v>
      </c>
      <c r="K97" s="178">
        <f>H97/H104</f>
        <v>6.5425144244653632E-3</v>
      </c>
    </row>
    <row r="98" spans="1:12" s="2" customFormat="1" x14ac:dyDescent="0.25">
      <c r="A98" s="6"/>
      <c r="B98" s="15"/>
      <c r="C98" s="19"/>
      <c r="D98" s="14">
        <f>SUM(D41+D79+D96)</f>
        <v>0</v>
      </c>
      <c r="E98" s="14">
        <f>SUM(E41+E79+E96)</f>
        <v>0</v>
      </c>
      <c r="F98" s="93"/>
      <c r="G98" s="31"/>
      <c r="H98" s="93"/>
      <c r="I98" s="93"/>
      <c r="J98" s="83"/>
      <c r="K98" s="3"/>
    </row>
    <row r="99" spans="1:12" s="2" customFormat="1" x14ac:dyDescent="0.25">
      <c r="A99" s="78" t="s">
        <v>110</v>
      </c>
      <c r="B99" s="79"/>
      <c r="C99" s="80"/>
      <c r="D99" s="81"/>
      <c r="E99" s="81"/>
      <c r="F99" s="94"/>
      <c r="G99" s="31"/>
      <c r="H99" s="94"/>
      <c r="I99" s="94"/>
      <c r="J99" s="128"/>
      <c r="K99" s="3"/>
    </row>
    <row r="100" spans="1:12" s="2" customFormat="1" x14ac:dyDescent="0.25">
      <c r="A100" s="66" t="s">
        <v>183</v>
      </c>
      <c r="B100" s="67" t="s">
        <v>111</v>
      </c>
      <c r="C100" s="68"/>
      <c r="D100" s="69"/>
      <c r="E100" s="69"/>
      <c r="F100" s="95">
        <f>1105038</f>
        <v>1105038</v>
      </c>
      <c r="G100" s="31"/>
      <c r="H100" s="95">
        <f>439914+60000</f>
        <v>499914</v>
      </c>
      <c r="I100" s="95">
        <f>H100-F100</f>
        <v>-605124</v>
      </c>
      <c r="J100" s="131">
        <f>I100/F100</f>
        <v>-0.54760469775700016</v>
      </c>
      <c r="K100" s="117" t="s">
        <v>380</v>
      </c>
    </row>
    <row r="101" spans="1:12" s="2" customFormat="1" x14ac:dyDescent="0.25">
      <c r="A101" s="66" t="s">
        <v>184</v>
      </c>
      <c r="B101" s="67" t="s">
        <v>112</v>
      </c>
      <c r="C101" s="68"/>
      <c r="D101" s="69"/>
      <c r="E101" s="69"/>
      <c r="F101" s="95">
        <v>190176</v>
      </c>
      <c r="G101" s="31"/>
      <c r="H101" s="95">
        <v>272392</v>
      </c>
      <c r="I101" s="95">
        <f>H101-F101</f>
        <v>82216</v>
      </c>
      <c r="J101" s="131">
        <f>I101/F101</f>
        <v>0.43231532895843849</v>
      </c>
      <c r="K101" s="3"/>
    </row>
    <row r="102" spans="1:12" s="2" customFormat="1" x14ac:dyDescent="0.25">
      <c r="A102" s="78" t="s">
        <v>113</v>
      </c>
      <c r="B102" s="82"/>
      <c r="C102" s="80"/>
      <c r="D102" s="81"/>
      <c r="E102" s="81"/>
      <c r="F102" s="100">
        <f t="shared" ref="F102:I102" si="12">SUM(F100:F101)</f>
        <v>1295214</v>
      </c>
      <c r="G102" s="100">
        <f t="shared" si="12"/>
        <v>0</v>
      </c>
      <c r="H102" s="100">
        <f t="shared" si="12"/>
        <v>772306</v>
      </c>
      <c r="I102" s="100">
        <f t="shared" si="12"/>
        <v>-522908</v>
      </c>
      <c r="J102" s="132">
        <f>I102/F102</f>
        <v>-0.40372324573390961</v>
      </c>
      <c r="K102" s="178">
        <f>H102/H104</f>
        <v>7.2769502060907126E-2</v>
      </c>
    </row>
    <row r="103" spans="1:12" s="2" customFormat="1" x14ac:dyDescent="0.25">
      <c r="A103" s="6"/>
      <c r="B103" s="15"/>
      <c r="C103" s="19"/>
      <c r="D103" s="14"/>
      <c r="E103" s="14"/>
      <c r="F103" s="93"/>
      <c r="G103" s="31"/>
      <c r="H103" s="93"/>
      <c r="I103" s="93"/>
      <c r="J103" s="83"/>
      <c r="K103" s="3"/>
    </row>
    <row r="104" spans="1:12" s="2" customFormat="1" x14ac:dyDescent="0.25">
      <c r="A104" s="22" t="s">
        <v>12</v>
      </c>
      <c r="B104" s="63"/>
      <c r="C104" s="50">
        <f>SUM(C42+C80+C97)</f>
        <v>4483286</v>
      </c>
      <c r="D104" s="51">
        <f>SUM(D42+D80+D97)</f>
        <v>-98348</v>
      </c>
      <c r="E104" s="51">
        <f>SUM(E42+E80+E97)</f>
        <v>0</v>
      </c>
      <c r="F104" s="92">
        <f>SUM(F42+F80+F97+F102)</f>
        <v>10017583</v>
      </c>
      <c r="G104" s="92">
        <f>SUM(G42+G80+G97+G102)</f>
        <v>0</v>
      </c>
      <c r="H104" s="92">
        <f>SUM(H42+H80+H97+H102)</f>
        <v>10613045</v>
      </c>
      <c r="I104" s="92">
        <f>SUM(I42+I80+I97+I102)</f>
        <v>595462</v>
      </c>
      <c r="J104" s="132">
        <f>I104/F104</f>
        <v>5.944168368757214E-2</v>
      </c>
      <c r="K104" s="179"/>
      <c r="L104" s="107"/>
    </row>
    <row r="105" spans="1:12" s="2" customFormat="1" x14ac:dyDescent="0.25">
      <c r="A105" s="6"/>
      <c r="B105" s="15"/>
      <c r="C105" s="18"/>
      <c r="D105" s="13"/>
      <c r="E105" s="13"/>
      <c r="F105" s="93"/>
      <c r="G105" s="31"/>
      <c r="H105" s="93"/>
      <c r="I105" s="93"/>
      <c r="J105" s="83"/>
      <c r="K105" s="3"/>
    </row>
    <row r="106" spans="1:12" s="2" customFormat="1" x14ac:dyDescent="0.25">
      <c r="A106" s="6"/>
      <c r="B106" s="15"/>
      <c r="C106" s="18"/>
      <c r="D106" s="13"/>
      <c r="E106" s="13"/>
      <c r="F106" s="93"/>
      <c r="G106" s="31"/>
      <c r="H106" s="93"/>
      <c r="I106" s="93"/>
      <c r="J106" s="83"/>
      <c r="K106" s="3"/>
    </row>
    <row r="107" spans="1:12" s="2" customFormat="1" x14ac:dyDescent="0.25">
      <c r="A107" s="66"/>
      <c r="B107" s="71" t="s">
        <v>11</v>
      </c>
      <c r="C107" s="68">
        <f>C8</f>
        <v>1600000</v>
      </c>
      <c r="D107" s="69">
        <f>D8</f>
        <v>123068</v>
      </c>
      <c r="E107" s="69"/>
      <c r="F107" s="95">
        <v>2393325</v>
      </c>
      <c r="G107" s="31"/>
      <c r="H107" s="95">
        <f>H8</f>
        <v>2418073</v>
      </c>
      <c r="I107" s="95"/>
      <c r="J107" s="129"/>
      <c r="K107" s="3"/>
      <c r="L107" s="107"/>
    </row>
    <row r="108" spans="1:12" s="2" customFormat="1" x14ac:dyDescent="0.25">
      <c r="A108" s="66"/>
      <c r="B108" s="71" t="s">
        <v>1</v>
      </c>
      <c r="C108" s="68">
        <f>C27</f>
        <v>3723706</v>
      </c>
      <c r="D108" s="69">
        <f>D27</f>
        <v>600000</v>
      </c>
      <c r="E108" s="69"/>
      <c r="F108" s="95">
        <v>10042331</v>
      </c>
      <c r="G108" s="31"/>
      <c r="H108" s="95">
        <f>H27</f>
        <v>10658720</v>
      </c>
      <c r="I108" s="95"/>
      <c r="J108" s="129"/>
      <c r="K108" s="3"/>
    </row>
    <row r="109" spans="1:12" s="2" customFormat="1" x14ac:dyDescent="0.25">
      <c r="A109" s="66"/>
      <c r="B109" s="71" t="s">
        <v>12</v>
      </c>
      <c r="C109" s="68">
        <f>C104*-1</f>
        <v>-4483286</v>
      </c>
      <c r="D109" s="69">
        <f>D104*-1</f>
        <v>98348</v>
      </c>
      <c r="E109" s="69"/>
      <c r="F109" s="95">
        <v>-10017583</v>
      </c>
      <c r="G109" s="31"/>
      <c r="H109" s="95">
        <f>-H104</f>
        <v>-10613045</v>
      </c>
      <c r="I109" s="95"/>
      <c r="J109" s="129"/>
      <c r="K109" s="3"/>
    </row>
    <row r="110" spans="1:12" s="2" customFormat="1" x14ac:dyDescent="0.25">
      <c r="A110" s="22" t="s">
        <v>14</v>
      </c>
      <c r="B110" s="72"/>
      <c r="C110" s="50">
        <f>SUM(C107:C109)</f>
        <v>840420</v>
      </c>
      <c r="D110" s="51">
        <f>SUM(D107:D109)</f>
        <v>821416</v>
      </c>
      <c r="E110" s="51"/>
      <c r="F110" s="92">
        <f t="shared" ref="F110:H110" si="13">SUM(F107:F109)</f>
        <v>2418073</v>
      </c>
      <c r="G110" s="92">
        <f t="shared" si="13"/>
        <v>0</v>
      </c>
      <c r="H110" s="92">
        <f t="shared" si="13"/>
        <v>2463748</v>
      </c>
      <c r="I110" s="92"/>
      <c r="J110" s="76"/>
      <c r="K110" s="3"/>
    </row>
    <row r="111" spans="1:12" s="2" customFormat="1" x14ac:dyDescent="0.25">
      <c r="A111" s="6"/>
      <c r="B111" s="15"/>
      <c r="C111" s="19"/>
      <c r="D111" s="14"/>
      <c r="E111" s="14"/>
      <c r="F111" s="93"/>
      <c r="G111" s="31"/>
      <c r="H111" s="93"/>
      <c r="I111" s="93"/>
      <c r="J111" s="83"/>
      <c r="K111" s="3"/>
    </row>
    <row r="112" spans="1:12" s="2" customFormat="1" x14ac:dyDescent="0.25">
      <c r="A112" s="22" t="s">
        <v>104</v>
      </c>
      <c r="B112" s="63"/>
      <c r="C112" s="50"/>
      <c r="D112" s="51"/>
      <c r="E112" s="51"/>
      <c r="F112" s="92"/>
      <c r="G112" s="31"/>
      <c r="H112" s="92"/>
      <c r="I112" s="92"/>
      <c r="J112" s="76"/>
      <c r="K112" s="3"/>
    </row>
    <row r="113" spans="1:12" s="2" customFormat="1" x14ac:dyDescent="0.25">
      <c r="A113" s="66"/>
      <c r="B113" s="67" t="s">
        <v>105</v>
      </c>
      <c r="C113" s="44">
        <v>127512</v>
      </c>
      <c r="D113" s="45">
        <v>-127512</v>
      </c>
      <c r="E113" s="45"/>
      <c r="F113" s="98"/>
      <c r="G113" s="37"/>
      <c r="H113" s="98"/>
      <c r="I113" s="98"/>
      <c r="J113" s="43"/>
      <c r="K113" s="3"/>
    </row>
    <row r="114" spans="1:12" s="2" customFormat="1" x14ac:dyDescent="0.25">
      <c r="A114" s="66"/>
      <c r="B114" s="41" t="s">
        <v>106</v>
      </c>
      <c r="C114" s="44">
        <v>900000</v>
      </c>
      <c r="D114" s="45">
        <v>200000</v>
      </c>
      <c r="E114" s="45">
        <v>0</v>
      </c>
      <c r="F114" s="98">
        <v>2000000</v>
      </c>
      <c r="G114" s="37"/>
      <c r="H114" s="98">
        <v>2020000</v>
      </c>
      <c r="I114" s="98">
        <f>H114-F114</f>
        <v>20000</v>
      </c>
      <c r="J114" s="43"/>
      <c r="K114" s="3"/>
    </row>
    <row r="115" spans="1:12" s="2" customFormat="1" x14ac:dyDescent="0.25">
      <c r="A115" s="66"/>
      <c r="B115" s="67" t="s">
        <v>169</v>
      </c>
      <c r="C115" s="44"/>
      <c r="D115" s="45"/>
      <c r="E115" s="45"/>
      <c r="F115" s="98">
        <v>0</v>
      </c>
      <c r="G115" s="37"/>
      <c r="H115" s="98"/>
      <c r="I115" s="98"/>
      <c r="J115" s="43"/>
      <c r="K115" s="3"/>
    </row>
    <row r="116" spans="1:12" s="2" customFormat="1" x14ac:dyDescent="0.25">
      <c r="A116" s="66"/>
      <c r="B116" s="67" t="s">
        <v>107</v>
      </c>
      <c r="C116" s="44">
        <v>0</v>
      </c>
      <c r="D116" s="45">
        <v>250000</v>
      </c>
      <c r="E116" s="45">
        <v>0</v>
      </c>
      <c r="F116" s="98">
        <v>102073</v>
      </c>
      <c r="G116" s="37"/>
      <c r="H116" s="98">
        <f>136948-60000</f>
        <v>76948</v>
      </c>
      <c r="I116" s="98">
        <f>H116-F116</f>
        <v>-25125</v>
      </c>
      <c r="J116" s="43"/>
      <c r="K116" s="3"/>
    </row>
    <row r="117" spans="1:12" x14ac:dyDescent="0.25">
      <c r="A117" s="40"/>
      <c r="B117" s="41" t="s">
        <v>171</v>
      </c>
      <c r="C117" s="73"/>
      <c r="D117" s="70"/>
      <c r="E117" s="70"/>
      <c r="F117" s="98">
        <v>20000</v>
      </c>
      <c r="H117" s="98">
        <v>32000</v>
      </c>
      <c r="I117" s="98">
        <f>H117-F117</f>
        <v>12000</v>
      </c>
      <c r="J117" s="43"/>
      <c r="K117" s="117" t="s">
        <v>391</v>
      </c>
      <c r="L117" s="105"/>
    </row>
    <row r="118" spans="1:12" x14ac:dyDescent="0.25">
      <c r="A118" s="40"/>
      <c r="B118" s="41" t="s">
        <v>173</v>
      </c>
      <c r="C118" s="44"/>
      <c r="D118" s="45"/>
      <c r="E118" s="45"/>
      <c r="F118" s="98">
        <v>50000</v>
      </c>
      <c r="H118" s="98">
        <v>50000</v>
      </c>
      <c r="I118" s="98"/>
      <c r="J118" s="43"/>
    </row>
    <row r="119" spans="1:12" x14ac:dyDescent="0.25">
      <c r="A119" s="40"/>
      <c r="B119" s="41" t="s">
        <v>176</v>
      </c>
      <c r="C119" s="44"/>
      <c r="D119" s="45"/>
      <c r="E119" s="45"/>
      <c r="F119" s="98">
        <v>0</v>
      </c>
      <c r="H119" s="98">
        <v>38800</v>
      </c>
      <c r="I119" s="98">
        <f>H119-F119</f>
        <v>38800</v>
      </c>
      <c r="J119" s="43"/>
      <c r="K119" s="117" t="s">
        <v>392</v>
      </c>
    </row>
    <row r="120" spans="1:12" x14ac:dyDescent="0.25">
      <c r="A120" s="40"/>
      <c r="B120" s="41" t="s">
        <v>181</v>
      </c>
      <c r="C120" s="44"/>
      <c r="D120" s="45"/>
      <c r="E120" s="45"/>
      <c r="F120" s="98">
        <v>96000</v>
      </c>
      <c r="H120" s="98">
        <v>96000</v>
      </c>
      <c r="I120" s="98"/>
      <c r="J120" s="43"/>
    </row>
    <row r="121" spans="1:12" x14ac:dyDescent="0.25">
      <c r="A121" s="40"/>
      <c r="B121" s="41" t="s">
        <v>174</v>
      </c>
      <c r="C121" s="44"/>
      <c r="D121" s="45"/>
      <c r="E121" s="45"/>
      <c r="F121" s="98">
        <v>75000</v>
      </c>
      <c r="H121" s="98">
        <v>75000</v>
      </c>
      <c r="I121" s="98"/>
      <c r="J121" s="43"/>
    </row>
    <row r="122" spans="1:12" ht="17.25" x14ac:dyDescent="0.4">
      <c r="A122" s="40"/>
      <c r="B122" s="41" t="s">
        <v>175</v>
      </c>
      <c r="C122" s="74">
        <v>270933</v>
      </c>
      <c r="D122" s="47">
        <v>263718</v>
      </c>
      <c r="E122" s="47">
        <v>0</v>
      </c>
      <c r="F122" s="98">
        <v>75000</v>
      </c>
      <c r="G122" s="38"/>
      <c r="H122" s="98">
        <v>75000</v>
      </c>
      <c r="I122" s="98">
        <f>H122-F122</f>
        <v>0</v>
      </c>
      <c r="J122" s="43"/>
    </row>
    <row r="123" spans="1:12" s="2" customFormat="1" ht="17.25" x14ac:dyDescent="0.4">
      <c r="A123" s="22" t="s">
        <v>5</v>
      </c>
      <c r="B123" s="63"/>
      <c r="C123" s="64">
        <f>SUM(C113:C122)</f>
        <v>1298445</v>
      </c>
      <c r="D123" s="65">
        <f>SUM(D113:D122)</f>
        <v>586206</v>
      </c>
      <c r="E123" s="65">
        <f>SUM(E113:E122)</f>
        <v>0</v>
      </c>
      <c r="F123" s="92">
        <f t="shared" ref="F123:G123" si="14">SUM(F113:F122)</f>
        <v>2418073</v>
      </c>
      <c r="G123" s="92">
        <f t="shared" si="14"/>
        <v>0</v>
      </c>
      <c r="H123" s="92">
        <f>SUM(H113:H122)</f>
        <v>2463748</v>
      </c>
      <c r="I123" s="92">
        <f>SUM(I114:I122)</f>
        <v>45675</v>
      </c>
      <c r="J123" s="76"/>
      <c r="K123" s="5"/>
    </row>
    <row r="124" spans="1:12" x14ac:dyDescent="0.25">
      <c r="C124" s="19"/>
      <c r="D124" s="14"/>
      <c r="E124" s="14"/>
      <c r="F124" s="93"/>
      <c r="G124" s="31"/>
      <c r="H124" s="93"/>
      <c r="I124" s="93"/>
      <c r="J124" s="83"/>
    </row>
    <row r="125" spans="1:12" s="2" customFormat="1" x14ac:dyDescent="0.25">
      <c r="A125" s="22" t="s">
        <v>115</v>
      </c>
      <c r="B125" s="63"/>
      <c r="C125" s="75">
        <f>+C27-C104</f>
        <v>-759580</v>
      </c>
      <c r="D125" s="76">
        <f>+D27-D104</f>
        <v>698348</v>
      </c>
      <c r="E125" s="76">
        <f>+E27-E104</f>
        <v>0</v>
      </c>
      <c r="F125" s="96">
        <f t="shared" ref="F125:G125" si="15">F123-F107</f>
        <v>24748</v>
      </c>
      <c r="G125" s="96">
        <f t="shared" si="15"/>
        <v>0</v>
      </c>
      <c r="H125" s="96">
        <f>H123-H107</f>
        <v>45675</v>
      </c>
      <c r="I125" s="96"/>
      <c r="J125" s="130"/>
      <c r="K125" s="5"/>
    </row>
    <row r="126" spans="1:12" ht="15.75" thickBot="1" x14ac:dyDescent="0.3">
      <c r="C126" s="17"/>
      <c r="D126" s="11"/>
      <c r="E126" s="11"/>
      <c r="F126" s="97"/>
      <c r="H126" s="97"/>
      <c r="I126" s="97"/>
    </row>
    <row r="128" spans="1:12" x14ac:dyDescent="0.25">
      <c r="H128" s="85">
        <f>SUM(H108:H109)</f>
        <v>45675</v>
      </c>
    </row>
    <row r="130" spans="8:8" ht="21" x14ac:dyDescent="0.35">
      <c r="H130" s="115"/>
    </row>
  </sheetData>
  <mergeCells count="2">
    <mergeCell ref="K30:Q41"/>
    <mergeCell ref="A2:J2"/>
  </mergeCells>
  <phoneticPr fontId="0" type="noConversion"/>
  <conditionalFormatting sqref="H128">
    <cfRule type="cellIs" dxfId="3" priority="1" operator="lessThan">
      <formula>0</formula>
    </cfRule>
    <cfRule type="cellIs" dxfId="2" priority="2" operator="greaterThan">
      <formula>0</formula>
    </cfRule>
  </conditionalFormatting>
  <conditionalFormatting sqref="H130">
    <cfRule type="cellIs" dxfId="1" priority="3" operator="lessThan">
      <formula>0</formula>
    </cfRule>
    <cfRule type="cellIs" dxfId="0" priority="4" operator="greaterThan">
      <formula>0</formula>
    </cfRule>
  </conditionalFormatting>
  <pageMargins left="0.5" right="0.5" top="0.75" bottom="0.5" header="0.5" footer="0.5"/>
  <pageSetup scale="89" fitToHeight="0" orientation="portrait" r:id="rId1"/>
  <headerFooter scaleWithDoc="0">
    <oddHeader>&amp;CATTACHMENT 1</oddHeader>
    <oddFooter>&amp;C&amp;P</oddFooter>
  </headerFooter>
  <rowBreaks count="1" manualBreakCount="1">
    <brk id="50" max="9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D46A9-BF0B-4CE2-AB9D-FE86AADEEBA5}">
  <dimension ref="A1:J25"/>
  <sheetViews>
    <sheetView workbookViewId="0">
      <selection activeCell="H32" sqref="H32"/>
    </sheetView>
  </sheetViews>
  <sheetFormatPr defaultColWidth="9.140625" defaultRowHeight="15" x14ac:dyDescent="0.25"/>
  <cols>
    <col min="1" max="1" width="32.7109375" style="119" bestFit="1" customWidth="1"/>
    <col min="2" max="2" width="9.85546875" style="119" bestFit="1" customWidth="1"/>
    <col min="3" max="3" width="12.140625" style="119" bestFit="1" customWidth="1"/>
    <col min="4" max="4" width="12.5703125" style="119" bestFit="1" customWidth="1"/>
    <col min="5" max="16384" width="9.140625" style="119"/>
  </cols>
  <sheetData>
    <row r="1" spans="1:10" x14ac:dyDescent="0.25">
      <c r="A1" s="170" t="s">
        <v>264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25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25">
      <c r="A3" s="167" t="s">
        <v>263</v>
      </c>
      <c r="B3" s="168"/>
      <c r="C3" s="168"/>
      <c r="D3" s="168"/>
      <c r="E3" s="168"/>
      <c r="F3" s="168"/>
      <c r="G3" s="168"/>
      <c r="H3" s="168"/>
      <c r="I3" s="168"/>
      <c r="J3" s="169"/>
    </row>
    <row r="4" spans="1:10" x14ac:dyDescent="0.25">
      <c r="A4" s="121" t="s">
        <v>262</v>
      </c>
      <c r="B4" s="120">
        <v>985.3</v>
      </c>
      <c r="C4" s="121"/>
      <c r="D4" s="121"/>
      <c r="E4" s="121"/>
      <c r="F4" s="121"/>
      <c r="G4" s="121"/>
      <c r="H4" s="121"/>
      <c r="I4" s="121"/>
      <c r="J4" s="121"/>
    </row>
    <row r="5" spans="1:10" x14ac:dyDescent="0.25">
      <c r="A5" s="121" t="s">
        <v>261</v>
      </c>
      <c r="B5" s="120">
        <v>300</v>
      </c>
      <c r="C5" s="121"/>
      <c r="D5" s="121"/>
      <c r="E5" s="121"/>
      <c r="F5" s="121"/>
      <c r="G5" s="121"/>
      <c r="H5" s="121"/>
      <c r="I5" s="121"/>
      <c r="J5" s="121"/>
    </row>
    <row r="6" spans="1:10" x14ac:dyDescent="0.25">
      <c r="A6" s="121" t="s">
        <v>260</v>
      </c>
      <c r="B6" s="120">
        <v>2300</v>
      </c>
      <c r="C6" s="121" t="s">
        <v>259</v>
      </c>
      <c r="D6" s="121"/>
      <c r="E6" s="121"/>
      <c r="F6" s="121"/>
      <c r="G6" s="121"/>
      <c r="H6" s="121"/>
      <c r="I6" s="121"/>
      <c r="J6" s="121"/>
    </row>
    <row r="7" spans="1:10" x14ac:dyDescent="0.25">
      <c r="A7" s="121" t="s">
        <v>258</v>
      </c>
      <c r="B7" s="120">
        <v>2000</v>
      </c>
      <c r="C7" s="121"/>
      <c r="D7" s="121"/>
      <c r="E7" s="121"/>
      <c r="F7" s="121"/>
      <c r="G7" s="121"/>
      <c r="H7" s="121"/>
      <c r="I7" s="121"/>
      <c r="J7" s="121"/>
    </row>
    <row r="8" spans="1:10" x14ac:dyDescent="0.25">
      <c r="A8" s="121" t="s">
        <v>257</v>
      </c>
      <c r="B8" s="120">
        <v>3828</v>
      </c>
      <c r="C8" s="121" t="s">
        <v>256</v>
      </c>
      <c r="D8" s="121"/>
      <c r="E8" s="121"/>
      <c r="F8" s="121"/>
      <c r="G8" s="121"/>
      <c r="H8" s="121"/>
      <c r="I8" s="121"/>
      <c r="J8" s="121"/>
    </row>
    <row r="9" spans="1:10" x14ac:dyDescent="0.25">
      <c r="A9" s="121" t="s">
        <v>255</v>
      </c>
      <c r="B9" s="120">
        <v>2000</v>
      </c>
      <c r="C9" s="121"/>
      <c r="D9" s="121"/>
      <c r="E9" s="121"/>
      <c r="F9" s="121"/>
      <c r="G9" s="121"/>
      <c r="H9" s="121"/>
      <c r="I9" s="121"/>
      <c r="J9" s="121"/>
    </row>
    <row r="10" spans="1:10" x14ac:dyDescent="0.25">
      <c r="A10" s="171"/>
      <c r="B10" s="172"/>
      <c r="C10" s="172"/>
      <c r="D10" s="172"/>
      <c r="E10" s="172"/>
      <c r="F10" s="172"/>
      <c r="G10" s="172"/>
      <c r="H10" s="172"/>
      <c r="I10" s="172"/>
      <c r="J10" s="173"/>
    </row>
    <row r="11" spans="1:10" x14ac:dyDescent="0.25">
      <c r="A11" s="167" t="s">
        <v>254</v>
      </c>
      <c r="B11" s="168"/>
      <c r="C11" s="168"/>
      <c r="D11" s="168"/>
      <c r="E11" s="168"/>
      <c r="F11" s="168"/>
      <c r="G11" s="168"/>
      <c r="H11" s="168"/>
      <c r="I11" s="168"/>
      <c r="J11" s="169"/>
    </row>
    <row r="12" spans="1:10" x14ac:dyDescent="0.25">
      <c r="A12" s="121" t="s">
        <v>253</v>
      </c>
      <c r="B12" s="120">
        <v>2645.58</v>
      </c>
      <c r="C12" s="121"/>
      <c r="D12" s="121"/>
      <c r="E12" s="121"/>
      <c r="F12" s="121"/>
      <c r="G12" s="121"/>
      <c r="H12" s="121"/>
      <c r="I12" s="121"/>
      <c r="J12" s="121"/>
    </row>
    <row r="13" spans="1:10" x14ac:dyDescent="0.25">
      <c r="A13" s="121" t="s">
        <v>252</v>
      </c>
      <c r="B13" s="120">
        <v>515</v>
      </c>
      <c r="C13" s="121"/>
      <c r="D13" s="121"/>
      <c r="E13" s="121"/>
      <c r="F13" s="121"/>
      <c r="G13" s="121"/>
      <c r="H13" s="121"/>
      <c r="I13" s="121"/>
      <c r="J13" s="121"/>
    </row>
    <row r="14" spans="1:10" x14ac:dyDescent="0.25">
      <c r="A14" s="121" t="s">
        <v>251</v>
      </c>
      <c r="B14" s="120">
        <v>2000</v>
      </c>
      <c r="C14" s="121"/>
      <c r="D14" s="121"/>
      <c r="E14" s="121"/>
      <c r="F14" s="121"/>
      <c r="G14" s="121"/>
      <c r="H14" s="121"/>
      <c r="I14" s="121"/>
      <c r="J14" s="121"/>
    </row>
    <row r="15" spans="1:10" x14ac:dyDescent="0.25">
      <c r="A15" s="171"/>
      <c r="B15" s="172"/>
      <c r="C15" s="172"/>
      <c r="D15" s="172"/>
      <c r="E15" s="172"/>
      <c r="F15" s="172"/>
      <c r="G15" s="172"/>
      <c r="H15" s="172"/>
      <c r="I15" s="172"/>
      <c r="J15" s="173"/>
    </row>
    <row r="16" spans="1:10" x14ac:dyDescent="0.25">
      <c r="A16" s="167" t="s">
        <v>250</v>
      </c>
      <c r="B16" s="168"/>
      <c r="C16" s="168"/>
      <c r="D16" s="168"/>
      <c r="E16" s="168"/>
      <c r="F16" s="168"/>
      <c r="G16" s="168"/>
      <c r="H16" s="168"/>
      <c r="I16" s="168"/>
      <c r="J16" s="169"/>
    </row>
    <row r="17" spans="1:10" x14ac:dyDescent="0.25">
      <c r="A17" s="121" t="s">
        <v>249</v>
      </c>
      <c r="B17" s="120">
        <v>6640</v>
      </c>
      <c r="C17" s="121" t="s">
        <v>248</v>
      </c>
      <c r="D17" s="121" t="s">
        <v>247</v>
      </c>
      <c r="E17" s="121"/>
      <c r="F17" s="121"/>
      <c r="G17" s="121"/>
      <c r="H17" s="121"/>
      <c r="I17" s="121"/>
      <c r="J17" s="121"/>
    </row>
    <row r="18" spans="1:10" x14ac:dyDescent="0.25">
      <c r="A18" s="171"/>
      <c r="B18" s="172"/>
      <c r="C18" s="172"/>
      <c r="D18" s="172"/>
      <c r="E18" s="172"/>
      <c r="F18" s="172"/>
      <c r="G18" s="172"/>
      <c r="H18" s="172"/>
      <c r="I18" s="172"/>
      <c r="J18" s="173"/>
    </row>
    <row r="19" spans="1:10" x14ac:dyDescent="0.25">
      <c r="A19" s="167" t="s">
        <v>246</v>
      </c>
      <c r="B19" s="168"/>
      <c r="C19" s="168"/>
      <c r="D19" s="168"/>
      <c r="E19" s="168"/>
      <c r="F19" s="168"/>
      <c r="G19" s="168"/>
      <c r="H19" s="168"/>
      <c r="I19" s="168"/>
      <c r="J19" s="169"/>
    </row>
    <row r="20" spans="1:10" x14ac:dyDescent="0.25">
      <c r="A20" s="121" t="s">
        <v>245</v>
      </c>
      <c r="B20" s="120">
        <v>7596.7</v>
      </c>
      <c r="C20" s="121"/>
      <c r="D20" s="121"/>
      <c r="E20" s="121"/>
      <c r="F20" s="121"/>
      <c r="G20" s="121"/>
      <c r="H20" s="121"/>
      <c r="I20" s="121"/>
      <c r="J20" s="121"/>
    </row>
    <row r="21" spans="1:10" x14ac:dyDescent="0.25">
      <c r="A21" s="121" t="s">
        <v>244</v>
      </c>
      <c r="B21" s="120">
        <v>2000</v>
      </c>
      <c r="C21" s="121"/>
      <c r="D21" s="121"/>
      <c r="E21" s="121"/>
      <c r="F21" s="121"/>
      <c r="G21" s="121"/>
      <c r="H21" s="121"/>
      <c r="I21" s="121"/>
      <c r="J21" s="121"/>
    </row>
    <row r="22" spans="1:10" x14ac:dyDescent="0.25">
      <c r="A22" s="171"/>
      <c r="B22" s="172"/>
      <c r="C22" s="172"/>
      <c r="D22" s="172"/>
      <c r="E22" s="172"/>
      <c r="F22" s="172"/>
      <c r="G22" s="172"/>
      <c r="H22" s="172"/>
      <c r="I22" s="172"/>
      <c r="J22" s="173"/>
    </row>
    <row r="23" spans="1:10" x14ac:dyDescent="0.25">
      <c r="A23" s="167" t="s">
        <v>243</v>
      </c>
      <c r="B23" s="168"/>
      <c r="C23" s="168"/>
      <c r="D23" s="168"/>
      <c r="E23" s="168"/>
      <c r="F23" s="168"/>
      <c r="G23" s="168"/>
      <c r="H23" s="168"/>
      <c r="I23" s="168"/>
      <c r="J23" s="169"/>
    </row>
    <row r="24" spans="1:10" x14ac:dyDescent="0.25">
      <c r="A24" s="121" t="s">
        <v>242</v>
      </c>
      <c r="B24" s="120">
        <v>2000</v>
      </c>
      <c r="C24" s="121"/>
      <c r="D24" s="121"/>
      <c r="E24" s="121"/>
      <c r="F24" s="121"/>
      <c r="G24" s="121"/>
      <c r="H24" s="121"/>
      <c r="I24" s="121"/>
      <c r="J24" s="121"/>
    </row>
    <row r="25" spans="1:10" x14ac:dyDescent="0.25">
      <c r="B25" s="122"/>
    </row>
  </sheetData>
  <mergeCells count="10">
    <mergeCell ref="A1:J2"/>
    <mergeCell ref="A15:J15"/>
    <mergeCell ref="A10:J10"/>
    <mergeCell ref="A18:J18"/>
    <mergeCell ref="A22:J22"/>
    <mergeCell ref="A23:J23"/>
    <mergeCell ref="A19:J19"/>
    <mergeCell ref="A16:J16"/>
    <mergeCell ref="A11:J11"/>
    <mergeCell ref="A3:J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D1674-82E5-4ABA-9FF6-B1CB6DCFB553}">
  <dimension ref="A1:D58"/>
  <sheetViews>
    <sheetView topLeftCell="A46" workbookViewId="0">
      <selection activeCell="H32" sqref="H32"/>
    </sheetView>
  </sheetViews>
  <sheetFormatPr defaultColWidth="9.140625" defaultRowHeight="15" x14ac:dyDescent="0.25"/>
  <cols>
    <col min="1" max="1" width="56.42578125" style="119" bestFit="1" customWidth="1"/>
    <col min="2" max="2" width="9.85546875" style="119" bestFit="1" customWidth="1"/>
    <col min="3" max="3" width="9.140625" style="119"/>
    <col min="4" max="4" width="10.85546875" style="119" bestFit="1" customWidth="1"/>
    <col min="5" max="16384" width="9.140625" style="119"/>
  </cols>
  <sheetData>
    <row r="1" spans="1:4" x14ac:dyDescent="0.25">
      <c r="A1" s="124" t="s">
        <v>296</v>
      </c>
    </row>
    <row r="3" spans="1:4" x14ac:dyDescent="0.25">
      <c r="A3" s="174" t="s">
        <v>295</v>
      </c>
      <c r="B3" s="174"/>
    </row>
    <row r="4" spans="1:4" x14ac:dyDescent="0.25">
      <c r="A4" s="121" t="s">
        <v>291</v>
      </c>
      <c r="B4" s="120">
        <v>3904</v>
      </c>
    </row>
    <row r="5" spans="1:4" x14ac:dyDescent="0.25">
      <c r="A5" s="121" t="s">
        <v>289</v>
      </c>
      <c r="B5" s="120">
        <v>806</v>
      </c>
    </row>
    <row r="6" spans="1:4" x14ac:dyDescent="0.25">
      <c r="A6" s="121" t="s">
        <v>288</v>
      </c>
      <c r="B6" s="120">
        <v>305</v>
      </c>
    </row>
    <row r="7" spans="1:4" x14ac:dyDescent="0.25">
      <c r="A7" s="121" t="s">
        <v>285</v>
      </c>
      <c r="B7" s="120">
        <v>1680</v>
      </c>
      <c r="D7" s="122">
        <f>SUM(B4:B11)</f>
        <v>14613.64</v>
      </c>
    </row>
    <row r="8" spans="1:4" x14ac:dyDescent="0.25">
      <c r="A8" s="121" t="s">
        <v>287</v>
      </c>
      <c r="B8" s="120">
        <v>1450</v>
      </c>
    </row>
    <row r="9" spans="1:4" x14ac:dyDescent="0.25">
      <c r="A9" s="121" t="s">
        <v>286</v>
      </c>
      <c r="B9" s="120">
        <v>600</v>
      </c>
    </row>
    <row r="10" spans="1:4" x14ac:dyDescent="0.25">
      <c r="A10" s="121" t="s">
        <v>284</v>
      </c>
      <c r="B10" s="120">
        <v>4768.6400000000003</v>
      </c>
    </row>
    <row r="11" spans="1:4" x14ac:dyDescent="0.25">
      <c r="A11" s="121" t="s">
        <v>283</v>
      </c>
      <c r="B11" s="120">
        <v>1100</v>
      </c>
    </row>
    <row r="12" spans="1:4" x14ac:dyDescent="0.25">
      <c r="A12" s="123"/>
      <c r="B12" s="123"/>
    </row>
    <row r="13" spans="1:4" x14ac:dyDescent="0.25">
      <c r="A13" s="174" t="s">
        <v>294</v>
      </c>
      <c r="B13" s="174"/>
    </row>
    <row r="14" spans="1:4" x14ac:dyDescent="0.25">
      <c r="A14" s="121" t="s">
        <v>293</v>
      </c>
      <c r="B14" s="120">
        <v>154</v>
      </c>
      <c r="D14" s="122">
        <f>B14</f>
        <v>154</v>
      </c>
    </row>
    <row r="15" spans="1:4" x14ac:dyDescent="0.25">
      <c r="A15" s="172"/>
      <c r="B15" s="172"/>
    </row>
    <row r="16" spans="1:4" x14ac:dyDescent="0.25">
      <c r="A16" s="174" t="s">
        <v>292</v>
      </c>
      <c r="B16" s="174"/>
    </row>
    <row r="17" spans="1:4" x14ac:dyDescent="0.25">
      <c r="A17" s="121" t="s">
        <v>291</v>
      </c>
      <c r="B17" s="120">
        <v>5028</v>
      </c>
    </row>
    <row r="18" spans="1:4" x14ac:dyDescent="0.25">
      <c r="A18" s="121" t="s">
        <v>290</v>
      </c>
      <c r="B18" s="120">
        <v>960</v>
      </c>
    </row>
    <row r="19" spans="1:4" x14ac:dyDescent="0.25">
      <c r="A19" s="121" t="s">
        <v>289</v>
      </c>
      <c r="B19" s="120">
        <v>939</v>
      </c>
    </row>
    <row r="20" spans="1:4" x14ac:dyDescent="0.25">
      <c r="A20" s="121" t="s">
        <v>288</v>
      </c>
      <c r="B20" s="120">
        <v>371</v>
      </c>
    </row>
    <row r="21" spans="1:4" x14ac:dyDescent="0.25">
      <c r="A21" s="121" t="s">
        <v>287</v>
      </c>
      <c r="B21" s="120">
        <v>950</v>
      </c>
    </row>
    <row r="22" spans="1:4" x14ac:dyDescent="0.25">
      <c r="A22" s="121" t="s">
        <v>286</v>
      </c>
      <c r="B22" s="120">
        <v>600</v>
      </c>
    </row>
    <row r="23" spans="1:4" x14ac:dyDescent="0.25">
      <c r="A23" s="121" t="s">
        <v>285</v>
      </c>
      <c r="B23" s="120">
        <v>1680</v>
      </c>
    </row>
    <row r="24" spans="1:4" x14ac:dyDescent="0.25">
      <c r="A24" s="121" t="s">
        <v>284</v>
      </c>
      <c r="B24" s="120">
        <v>4768.6400000000003</v>
      </c>
    </row>
    <row r="25" spans="1:4" x14ac:dyDescent="0.25">
      <c r="A25" s="121" t="s">
        <v>283</v>
      </c>
      <c r="B25" s="120">
        <v>1100</v>
      </c>
      <c r="D25" s="122">
        <f>SUM(B17:B25)</f>
        <v>16396.64</v>
      </c>
    </row>
    <row r="26" spans="1:4" x14ac:dyDescent="0.25">
      <c r="A26" s="175"/>
      <c r="B26" s="175"/>
    </row>
    <row r="27" spans="1:4" x14ac:dyDescent="0.25">
      <c r="A27" s="176" t="s">
        <v>282</v>
      </c>
      <c r="B27" s="176"/>
    </row>
    <row r="28" spans="1:4" x14ac:dyDescent="0.25">
      <c r="A28" s="174" t="s">
        <v>281</v>
      </c>
      <c r="B28" s="174"/>
    </row>
    <row r="29" spans="1:4" x14ac:dyDescent="0.25">
      <c r="A29" s="121" t="s">
        <v>275</v>
      </c>
      <c r="B29" s="120">
        <v>1820</v>
      </c>
      <c r="D29" s="122"/>
    </row>
    <row r="30" spans="1:4" x14ac:dyDescent="0.25">
      <c r="A30" s="174" t="s">
        <v>280</v>
      </c>
      <c r="B30" s="174"/>
    </row>
    <row r="31" spans="1:4" x14ac:dyDescent="0.25">
      <c r="A31" s="121" t="s">
        <v>275</v>
      </c>
      <c r="B31" s="120">
        <v>3720</v>
      </c>
      <c r="D31" s="122"/>
    </row>
    <row r="32" spans="1:4" x14ac:dyDescent="0.25">
      <c r="A32" s="175"/>
      <c r="B32" s="175"/>
    </row>
    <row r="33" spans="1:2" x14ac:dyDescent="0.25">
      <c r="A33" s="176" t="s">
        <v>279</v>
      </c>
      <c r="B33" s="176"/>
    </row>
    <row r="34" spans="1:2" x14ac:dyDescent="0.25">
      <c r="A34" s="174" t="s">
        <v>278</v>
      </c>
      <c r="B34" s="174"/>
    </row>
    <row r="35" spans="1:2" x14ac:dyDescent="0.25">
      <c r="A35" s="121" t="s">
        <v>275</v>
      </c>
      <c r="B35" s="120">
        <v>3904</v>
      </c>
    </row>
    <row r="36" spans="1:2" x14ac:dyDescent="0.25">
      <c r="A36" s="174" t="s">
        <v>277</v>
      </c>
      <c r="B36" s="174"/>
    </row>
    <row r="37" spans="1:2" x14ac:dyDescent="0.25">
      <c r="A37" s="121" t="s">
        <v>275</v>
      </c>
      <c r="B37" s="120">
        <v>952.8</v>
      </c>
    </row>
    <row r="38" spans="1:2" x14ac:dyDescent="0.25">
      <c r="A38" s="174" t="s">
        <v>276</v>
      </c>
      <c r="B38" s="174"/>
    </row>
    <row r="39" spans="1:2" x14ac:dyDescent="0.25">
      <c r="A39" s="121" t="s">
        <v>275</v>
      </c>
      <c r="B39" s="120">
        <v>9308</v>
      </c>
    </row>
    <row r="40" spans="1:2" x14ac:dyDescent="0.25">
      <c r="A40" s="175"/>
      <c r="B40" s="175"/>
    </row>
    <row r="41" spans="1:2" x14ac:dyDescent="0.25">
      <c r="A41" s="176" t="s">
        <v>274</v>
      </c>
      <c r="B41" s="176"/>
    </row>
    <row r="42" spans="1:2" x14ac:dyDescent="0.25">
      <c r="A42" s="174" t="s">
        <v>273</v>
      </c>
      <c r="B42" s="174"/>
    </row>
    <row r="43" spans="1:2" x14ac:dyDescent="0.25">
      <c r="A43" s="121" t="s">
        <v>270</v>
      </c>
      <c r="B43" s="120">
        <v>629</v>
      </c>
    </row>
    <row r="44" spans="1:2" x14ac:dyDescent="0.25">
      <c r="A44" s="174" t="s">
        <v>272</v>
      </c>
      <c r="B44" s="174"/>
    </row>
    <row r="45" spans="1:2" x14ac:dyDescent="0.25">
      <c r="A45" s="121" t="s">
        <v>270</v>
      </c>
      <c r="B45" s="120">
        <v>515</v>
      </c>
    </row>
    <row r="46" spans="1:2" x14ac:dyDescent="0.25">
      <c r="A46" s="174" t="s">
        <v>271</v>
      </c>
      <c r="B46" s="174"/>
    </row>
    <row r="47" spans="1:2" x14ac:dyDescent="0.25">
      <c r="A47" s="121" t="s">
        <v>270</v>
      </c>
      <c r="B47" s="120">
        <v>948</v>
      </c>
    </row>
    <row r="48" spans="1:2" x14ac:dyDescent="0.25">
      <c r="A48" s="175"/>
      <c r="B48" s="175"/>
    </row>
    <row r="49" spans="1:4" x14ac:dyDescent="0.25">
      <c r="A49" s="176" t="s">
        <v>269</v>
      </c>
      <c r="B49" s="176"/>
    </row>
    <row r="50" spans="1:4" x14ac:dyDescent="0.25">
      <c r="A50" s="174" t="s">
        <v>268</v>
      </c>
      <c r="B50" s="174"/>
    </row>
    <row r="51" spans="1:4" x14ac:dyDescent="0.25">
      <c r="A51" s="121" t="s">
        <v>265</v>
      </c>
      <c r="B51" s="120">
        <v>6000</v>
      </c>
    </row>
    <row r="52" spans="1:4" x14ac:dyDescent="0.25">
      <c r="A52" s="174" t="s">
        <v>267</v>
      </c>
      <c r="B52" s="174"/>
    </row>
    <row r="53" spans="1:4" x14ac:dyDescent="0.25">
      <c r="A53" s="121" t="s">
        <v>265</v>
      </c>
      <c r="B53" s="120">
        <v>3600</v>
      </c>
    </row>
    <row r="54" spans="1:4" x14ac:dyDescent="0.25">
      <c r="A54" s="174" t="s">
        <v>266</v>
      </c>
      <c r="B54" s="174"/>
    </row>
    <row r="55" spans="1:4" x14ac:dyDescent="0.25">
      <c r="A55" s="121" t="s">
        <v>265</v>
      </c>
      <c r="B55" s="120">
        <v>6000</v>
      </c>
    </row>
    <row r="58" spans="1:4" x14ac:dyDescent="0.25">
      <c r="D58" s="122">
        <f>SUM(D7:D26,B29,B31,B35,B37,B39,B43,B45,B47,B51,B53,B55)</f>
        <v>68561.08</v>
      </c>
    </row>
  </sheetData>
  <mergeCells count="23">
    <mergeCell ref="A13:B13"/>
    <mergeCell ref="A3:B3"/>
    <mergeCell ref="A28:B28"/>
    <mergeCell ref="A30:B30"/>
    <mergeCell ref="A34:B34"/>
    <mergeCell ref="A33:B33"/>
    <mergeCell ref="A27:B27"/>
    <mergeCell ref="A15:B15"/>
    <mergeCell ref="A26:B26"/>
    <mergeCell ref="A32:B32"/>
    <mergeCell ref="A52:B52"/>
    <mergeCell ref="A54:B54"/>
    <mergeCell ref="A49:B49"/>
    <mergeCell ref="A44:B44"/>
    <mergeCell ref="A46:B46"/>
    <mergeCell ref="A48:B48"/>
    <mergeCell ref="A36:B36"/>
    <mergeCell ref="A38:B38"/>
    <mergeCell ref="A42:B42"/>
    <mergeCell ref="A16:B16"/>
    <mergeCell ref="A50:B50"/>
    <mergeCell ref="A40:B40"/>
    <mergeCell ref="A41:B4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44314-2EED-445D-998A-0A7452108233}">
  <dimension ref="A1"/>
  <sheetViews>
    <sheetView workbookViewId="0">
      <selection activeCell="H32" sqref="H32"/>
    </sheetView>
  </sheetViews>
  <sheetFormatPr defaultColWidth="9.140625" defaultRowHeight="15" x14ac:dyDescent="0.25"/>
  <cols>
    <col min="1" max="16384" width="9.140625" style="119"/>
  </cols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881A9-E35A-4FDC-947C-197D538D31F8}">
  <dimension ref="A1:D10"/>
  <sheetViews>
    <sheetView workbookViewId="0">
      <selection activeCell="A11" sqref="A11"/>
    </sheetView>
  </sheetViews>
  <sheetFormatPr defaultColWidth="9.140625" defaultRowHeight="15" x14ac:dyDescent="0.25"/>
  <cols>
    <col min="1" max="1" width="39.28515625" style="119" bestFit="1" customWidth="1"/>
    <col min="2" max="2" width="9.140625" style="119"/>
    <col min="3" max="4" width="9.85546875" style="119" bestFit="1" customWidth="1"/>
    <col min="5" max="16384" width="9.140625" style="119"/>
  </cols>
  <sheetData>
    <row r="1" spans="1:4" x14ac:dyDescent="0.25">
      <c r="A1" s="124" t="s">
        <v>303</v>
      </c>
    </row>
    <row r="3" spans="1:4" x14ac:dyDescent="0.25">
      <c r="A3" s="125" t="s">
        <v>302</v>
      </c>
      <c r="B3" s="125" t="s">
        <v>301</v>
      </c>
      <c r="C3" s="125" t="s">
        <v>300</v>
      </c>
      <c r="D3" s="125" t="s">
        <v>299</v>
      </c>
    </row>
    <row r="4" spans="1:4" x14ac:dyDescent="0.25">
      <c r="A4" s="121" t="s">
        <v>298</v>
      </c>
      <c r="B4" s="121">
        <v>24</v>
      </c>
      <c r="C4" s="120">
        <v>142.99</v>
      </c>
      <c r="D4" s="120">
        <v>3431.76</v>
      </c>
    </row>
    <row r="6" spans="1:4" x14ac:dyDescent="0.25">
      <c r="A6" s="121" t="s">
        <v>297</v>
      </c>
      <c r="B6" s="121">
        <v>1</v>
      </c>
      <c r="C6" s="120">
        <v>1260</v>
      </c>
      <c r="D6" s="120">
        <v>1260</v>
      </c>
    </row>
    <row r="8" spans="1:4" x14ac:dyDescent="0.25">
      <c r="A8" s="126" t="s">
        <v>325</v>
      </c>
    </row>
    <row r="9" spans="1:4" x14ac:dyDescent="0.25">
      <c r="A9" s="126" t="s">
        <v>326</v>
      </c>
    </row>
    <row r="10" spans="1:4" x14ac:dyDescent="0.25">
      <c r="A10" s="126" t="s">
        <v>327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8B2A4-66C5-414E-ACC2-8684589D8F73}">
  <dimension ref="A1:J24"/>
  <sheetViews>
    <sheetView workbookViewId="0">
      <selection activeCell="H32" sqref="H32"/>
    </sheetView>
  </sheetViews>
  <sheetFormatPr defaultColWidth="9.140625" defaultRowHeight="15" x14ac:dyDescent="0.25"/>
  <cols>
    <col min="1" max="1" width="22.140625" style="119" bestFit="1" customWidth="1"/>
    <col min="2" max="2" width="9.85546875" style="119" bestFit="1" customWidth="1"/>
    <col min="3" max="4" width="10.85546875" style="119" bestFit="1" customWidth="1"/>
    <col min="5" max="5" width="9.140625" style="119"/>
    <col min="6" max="6" width="4.42578125" style="119" customWidth="1"/>
    <col min="7" max="7" width="8.28515625" style="119" bestFit="1" customWidth="1"/>
    <col min="8" max="8" width="9.85546875" style="119" bestFit="1" customWidth="1"/>
    <col min="9" max="9" width="9.140625" style="119"/>
    <col min="10" max="10" width="9.85546875" style="119" bestFit="1" customWidth="1"/>
    <col min="11" max="16384" width="9.140625" style="119"/>
  </cols>
  <sheetData>
    <row r="1" spans="1:8" x14ac:dyDescent="0.25">
      <c r="A1" s="124" t="s">
        <v>321</v>
      </c>
    </row>
    <row r="3" spans="1:8" x14ac:dyDescent="0.25">
      <c r="A3" s="125" t="s">
        <v>320</v>
      </c>
      <c r="B3" s="125" t="s">
        <v>301</v>
      </c>
      <c r="C3" s="125" t="s">
        <v>319</v>
      </c>
      <c r="D3" s="125" t="s">
        <v>299</v>
      </c>
    </row>
    <row r="4" spans="1:8" x14ac:dyDescent="0.25">
      <c r="A4" s="121" t="s">
        <v>318</v>
      </c>
      <c r="B4" s="121">
        <v>10</v>
      </c>
      <c r="C4" s="120">
        <v>1053.57</v>
      </c>
      <c r="D4" s="120">
        <f>B4*C4</f>
        <v>10535.699999999999</v>
      </c>
    </row>
    <row r="5" spans="1:8" x14ac:dyDescent="0.25">
      <c r="C5" s="122"/>
    </row>
    <row r="7" spans="1:8" x14ac:dyDescent="0.25">
      <c r="A7" s="121" t="s">
        <v>317</v>
      </c>
      <c r="B7" s="121">
        <v>10</v>
      </c>
      <c r="C7" s="120">
        <v>442.81</v>
      </c>
      <c r="D7" s="120">
        <f>B7*C7</f>
        <v>4428.1000000000004</v>
      </c>
    </row>
    <row r="8" spans="1:8" x14ac:dyDescent="0.25">
      <c r="A8" s="121" t="s">
        <v>316</v>
      </c>
      <c r="B8" s="121">
        <v>2</v>
      </c>
      <c r="C8" s="121"/>
    </row>
    <row r="9" spans="1:8" x14ac:dyDescent="0.25">
      <c r="A9" s="121" t="s">
        <v>315</v>
      </c>
      <c r="B9" s="121">
        <v>6</v>
      </c>
      <c r="C9" s="121"/>
    </row>
    <row r="10" spans="1:8" x14ac:dyDescent="0.25">
      <c r="A10" s="121" t="s">
        <v>314</v>
      </c>
      <c r="B10" s="121">
        <v>2</v>
      </c>
      <c r="C10" s="121"/>
    </row>
    <row r="11" spans="1:8" x14ac:dyDescent="0.25">
      <c r="C11" s="122"/>
    </row>
    <row r="13" spans="1:8" x14ac:dyDescent="0.25">
      <c r="A13" s="121" t="s">
        <v>313</v>
      </c>
      <c r="B13" s="121">
        <v>8</v>
      </c>
      <c r="C13" s="120">
        <v>732.07</v>
      </c>
      <c r="D13" s="120">
        <f>B13*C13</f>
        <v>5856.56</v>
      </c>
    </row>
    <row r="14" spans="1:8" x14ac:dyDescent="0.25">
      <c r="C14" s="122"/>
    </row>
    <row r="15" spans="1:8" x14ac:dyDescent="0.25">
      <c r="A15" s="121" t="s">
        <v>312</v>
      </c>
      <c r="B15" s="121">
        <v>6</v>
      </c>
      <c r="C15" s="120">
        <v>345</v>
      </c>
      <c r="D15" s="120">
        <f t="shared" ref="D15:D23" si="0">B15*C15</f>
        <v>2070</v>
      </c>
      <c r="F15" s="121">
        <v>4</v>
      </c>
      <c r="G15" s="120">
        <v>345</v>
      </c>
      <c r="H15" s="120">
        <f t="shared" ref="H15:H23" si="1">F15*G15</f>
        <v>1380</v>
      </c>
    </row>
    <row r="16" spans="1:8" x14ac:dyDescent="0.25">
      <c r="A16" s="121" t="s">
        <v>311</v>
      </c>
      <c r="B16" s="121">
        <v>6</v>
      </c>
      <c r="C16" s="120">
        <v>116.46</v>
      </c>
      <c r="D16" s="120">
        <f t="shared" si="0"/>
        <v>698.76</v>
      </c>
      <c r="F16" s="121">
        <v>4</v>
      </c>
      <c r="G16" s="120">
        <v>116.46</v>
      </c>
      <c r="H16" s="120">
        <f t="shared" si="1"/>
        <v>465.84</v>
      </c>
    </row>
    <row r="17" spans="1:10" x14ac:dyDescent="0.25">
      <c r="A17" s="121" t="s">
        <v>310</v>
      </c>
      <c r="B17" s="121">
        <v>6</v>
      </c>
      <c r="C17" s="120">
        <v>558</v>
      </c>
      <c r="D17" s="120">
        <f t="shared" si="0"/>
        <v>3348</v>
      </c>
      <c r="F17" s="121">
        <v>4</v>
      </c>
      <c r="G17" s="120">
        <v>558</v>
      </c>
      <c r="H17" s="120">
        <f t="shared" si="1"/>
        <v>2232</v>
      </c>
    </row>
    <row r="18" spans="1:10" x14ac:dyDescent="0.25">
      <c r="A18" s="121" t="s">
        <v>309</v>
      </c>
      <c r="B18" s="121">
        <v>6</v>
      </c>
      <c r="C18" s="120">
        <v>92.86</v>
      </c>
      <c r="D18" s="120">
        <f t="shared" si="0"/>
        <v>557.16</v>
      </c>
      <c r="F18" s="121">
        <v>4</v>
      </c>
      <c r="G18" s="120">
        <v>92.86</v>
      </c>
      <c r="H18" s="120">
        <f t="shared" si="1"/>
        <v>371.44</v>
      </c>
    </row>
    <row r="19" spans="1:10" x14ac:dyDescent="0.25">
      <c r="A19" s="121" t="s">
        <v>308</v>
      </c>
      <c r="B19" s="121">
        <v>6</v>
      </c>
      <c r="C19" s="120">
        <v>76.33</v>
      </c>
      <c r="D19" s="120">
        <f t="shared" si="0"/>
        <v>457.98</v>
      </c>
      <c r="F19" s="121">
        <v>4</v>
      </c>
      <c r="G19" s="120">
        <v>76.33</v>
      </c>
      <c r="H19" s="120">
        <f t="shared" si="1"/>
        <v>305.32</v>
      </c>
    </row>
    <row r="20" spans="1:10" x14ac:dyDescent="0.25">
      <c r="A20" s="121" t="s">
        <v>307</v>
      </c>
      <c r="B20" s="121">
        <v>6</v>
      </c>
      <c r="C20" s="120">
        <v>57.2</v>
      </c>
      <c r="D20" s="120">
        <f t="shared" si="0"/>
        <v>343.20000000000005</v>
      </c>
      <c r="F20" s="121">
        <v>4</v>
      </c>
      <c r="G20" s="120">
        <v>57.2</v>
      </c>
      <c r="H20" s="120">
        <f t="shared" si="1"/>
        <v>228.8</v>
      </c>
    </row>
    <row r="21" spans="1:10" x14ac:dyDescent="0.25">
      <c r="A21" s="121" t="s">
        <v>306</v>
      </c>
      <c r="B21" s="121">
        <v>6</v>
      </c>
      <c r="C21" s="120">
        <v>48.57</v>
      </c>
      <c r="D21" s="120">
        <f t="shared" si="0"/>
        <v>291.42</v>
      </c>
      <c r="F21" s="121">
        <v>4</v>
      </c>
      <c r="G21" s="120">
        <v>48.57</v>
      </c>
      <c r="H21" s="120">
        <f t="shared" si="1"/>
        <v>194.28</v>
      </c>
    </row>
    <row r="22" spans="1:10" x14ac:dyDescent="0.25">
      <c r="A22" s="121" t="s">
        <v>305</v>
      </c>
      <c r="B22" s="121">
        <v>6</v>
      </c>
      <c r="C22" s="120">
        <v>40</v>
      </c>
      <c r="D22" s="120">
        <f t="shared" si="0"/>
        <v>240</v>
      </c>
      <c r="F22" s="121">
        <v>4</v>
      </c>
      <c r="G22" s="120">
        <v>40</v>
      </c>
      <c r="H22" s="120">
        <f t="shared" si="1"/>
        <v>160</v>
      </c>
    </row>
    <row r="23" spans="1:10" x14ac:dyDescent="0.25">
      <c r="A23" s="121" t="s">
        <v>304</v>
      </c>
      <c r="B23" s="121">
        <v>6</v>
      </c>
      <c r="C23" s="120">
        <v>39.950000000000003</v>
      </c>
      <c r="D23" s="120">
        <f t="shared" si="0"/>
        <v>239.70000000000002</v>
      </c>
      <c r="F23" s="121">
        <v>4</v>
      </c>
      <c r="G23" s="120">
        <v>39.950000000000003</v>
      </c>
      <c r="H23" s="120">
        <f t="shared" si="1"/>
        <v>159.80000000000001</v>
      </c>
    </row>
    <row r="24" spans="1:10" x14ac:dyDescent="0.25">
      <c r="D24" s="122">
        <f>SUM(D15:D23)</f>
        <v>8246.2199999999993</v>
      </c>
      <c r="H24" s="122">
        <f>SUM(H15:H23)</f>
        <v>5497.48</v>
      </c>
      <c r="J24" s="122">
        <f>D24-H24</f>
        <v>2748.74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AC6DB-CD99-46A6-9F01-F66E5C1C4116}">
  <dimension ref="A1:D8"/>
  <sheetViews>
    <sheetView workbookViewId="0">
      <selection activeCell="H32" sqref="H32"/>
    </sheetView>
  </sheetViews>
  <sheetFormatPr defaultColWidth="9.140625" defaultRowHeight="15" x14ac:dyDescent="0.25"/>
  <cols>
    <col min="1" max="1" width="27.28515625" style="119" bestFit="1" customWidth="1"/>
    <col min="2" max="2" width="9.140625" style="119"/>
    <col min="3" max="4" width="10.85546875" style="119" bestFit="1" customWidth="1"/>
    <col min="5" max="16384" width="9.140625" style="119"/>
  </cols>
  <sheetData>
    <row r="1" spans="1:4" x14ac:dyDescent="0.25">
      <c r="A1" s="124" t="s">
        <v>324</v>
      </c>
    </row>
    <row r="3" spans="1:4" x14ac:dyDescent="0.25">
      <c r="A3" s="125" t="s">
        <v>320</v>
      </c>
      <c r="B3" s="125" t="s">
        <v>301</v>
      </c>
      <c r="C3" s="125" t="s">
        <v>319</v>
      </c>
      <c r="D3" s="125" t="s">
        <v>299</v>
      </c>
    </row>
    <row r="4" spans="1:4" x14ac:dyDescent="0.25">
      <c r="A4" s="121" t="s">
        <v>323</v>
      </c>
      <c r="B4" s="121">
        <v>2</v>
      </c>
      <c r="C4" s="120">
        <v>891.95</v>
      </c>
      <c r="D4" s="120">
        <v>1783.9</v>
      </c>
    </row>
    <row r="5" spans="1:4" x14ac:dyDescent="0.25">
      <c r="C5" s="122"/>
    </row>
    <row r="7" spans="1:4" x14ac:dyDescent="0.25">
      <c r="A7" s="121" t="s">
        <v>322</v>
      </c>
      <c r="B7" s="121">
        <v>8</v>
      </c>
      <c r="C7" s="120">
        <v>1598.81</v>
      </c>
      <c r="D7" s="120">
        <v>12790.48</v>
      </c>
    </row>
    <row r="8" spans="1:4" x14ac:dyDescent="0.25">
      <c r="C8" s="12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DE317-FB18-4F11-91FA-1998AAAB23AE}">
  <dimension ref="A3:K54"/>
  <sheetViews>
    <sheetView topLeftCell="A4" workbookViewId="0">
      <selection activeCell="D20" sqref="D20"/>
    </sheetView>
  </sheetViews>
  <sheetFormatPr defaultColWidth="9.140625" defaultRowHeight="15" x14ac:dyDescent="0.25"/>
  <cols>
    <col min="1" max="1" width="30.7109375" style="119" customWidth="1"/>
    <col min="2" max="2" width="9.140625" style="119"/>
    <col min="3" max="4" width="10.85546875" style="119" bestFit="1" customWidth="1"/>
    <col min="5" max="16384" width="9.140625" style="119"/>
  </cols>
  <sheetData>
    <row r="3" spans="1:11" ht="18.75" x14ac:dyDescent="0.3">
      <c r="A3" s="155" t="s">
        <v>364</v>
      </c>
    </row>
    <row r="5" spans="1:11" x14ac:dyDescent="0.25">
      <c r="A5" s="119" t="s">
        <v>365</v>
      </c>
    </row>
    <row r="6" spans="1:11" x14ac:dyDescent="0.25">
      <c r="A6" s="156"/>
    </row>
    <row r="8" spans="1:11" x14ac:dyDescent="0.25">
      <c r="A8" s="124" t="s">
        <v>366</v>
      </c>
      <c r="B8" s="157" t="s">
        <v>367</v>
      </c>
      <c r="C8" s="157" t="s">
        <v>368</v>
      </c>
      <c r="D8" s="157" t="s">
        <v>345</v>
      </c>
    </row>
    <row r="9" spans="1:11" x14ac:dyDescent="0.25">
      <c r="A9" s="121" t="s">
        <v>369</v>
      </c>
      <c r="B9" s="121">
        <v>1</v>
      </c>
      <c r="C9" s="120">
        <v>4207.3999999999996</v>
      </c>
      <c r="D9" s="120">
        <f>B9*C9</f>
        <v>4207.3999999999996</v>
      </c>
    </row>
    <row r="10" spans="1:11" x14ac:dyDescent="0.25">
      <c r="A10" s="159" t="s">
        <v>374</v>
      </c>
      <c r="B10" s="121">
        <v>8</v>
      </c>
      <c r="C10" s="120">
        <v>2916</v>
      </c>
      <c r="D10" s="120">
        <f>B10*C10</f>
        <v>23328</v>
      </c>
    </row>
    <row r="11" spans="1:11" x14ac:dyDescent="0.25">
      <c r="D11" s="160">
        <f>SUM(D9:D10)</f>
        <v>27535.4</v>
      </c>
    </row>
    <row r="13" spans="1:11" x14ac:dyDescent="0.25">
      <c r="A13" s="124" t="s">
        <v>370</v>
      </c>
    </row>
    <row r="14" spans="1:11" x14ac:dyDescent="0.25">
      <c r="A14" s="121" t="s">
        <v>371</v>
      </c>
      <c r="B14" s="121" t="s">
        <v>372</v>
      </c>
      <c r="C14" s="120">
        <v>3950.1</v>
      </c>
      <c r="D14" s="120">
        <v>23700.6</v>
      </c>
    </row>
    <row r="15" spans="1:11" x14ac:dyDescent="0.25">
      <c r="D15" s="160">
        <f>D14</f>
        <v>23700.6</v>
      </c>
    </row>
    <row r="16" spans="1:11" x14ac:dyDescent="0.25">
      <c r="B16" s="158"/>
      <c r="C16" s="158"/>
      <c r="D16" s="158"/>
      <c r="E16" s="158"/>
      <c r="F16" s="158"/>
      <c r="G16" s="158"/>
      <c r="H16" s="158"/>
      <c r="I16" s="158"/>
      <c r="J16" s="158"/>
      <c r="K16" s="158"/>
    </row>
    <row r="17" spans="1:11" x14ac:dyDescent="0.25">
      <c r="A17" s="124" t="s">
        <v>373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</row>
    <row r="18" spans="1:11" x14ac:dyDescent="0.25">
      <c r="A18" s="159" t="s">
        <v>375</v>
      </c>
      <c r="B18" s="121">
        <v>1</v>
      </c>
      <c r="C18" s="120">
        <v>4700</v>
      </c>
      <c r="D18" s="120">
        <f>B18*C18</f>
        <v>4700</v>
      </c>
      <c r="E18" s="158"/>
      <c r="F18" s="158"/>
      <c r="G18" s="158"/>
      <c r="H18" s="158"/>
      <c r="I18" s="158"/>
      <c r="J18" s="158"/>
      <c r="K18" s="158"/>
    </row>
    <row r="19" spans="1:11" x14ac:dyDescent="0.25">
      <c r="A19" s="159" t="s">
        <v>376</v>
      </c>
      <c r="B19" s="121">
        <v>1</v>
      </c>
      <c r="C19" s="120">
        <v>3500</v>
      </c>
      <c r="D19" s="120">
        <f>B19*C19</f>
        <v>3500</v>
      </c>
      <c r="E19" s="158"/>
      <c r="F19" s="158"/>
      <c r="G19" s="158"/>
      <c r="H19" s="158"/>
      <c r="I19" s="158"/>
      <c r="J19" s="158"/>
      <c r="K19" s="158"/>
    </row>
    <row r="20" spans="1:11" x14ac:dyDescent="0.25">
      <c r="B20" s="158"/>
      <c r="C20" s="158"/>
      <c r="D20" s="160">
        <f>SUM(D18:D19)</f>
        <v>8200</v>
      </c>
      <c r="E20" s="158"/>
      <c r="F20" s="158"/>
      <c r="G20" s="158"/>
      <c r="H20" s="158"/>
      <c r="I20" s="158"/>
      <c r="J20" s="158"/>
      <c r="K20" s="158"/>
    </row>
    <row r="21" spans="1:11" x14ac:dyDescent="0.25">
      <c r="B21" s="158"/>
      <c r="C21" s="158"/>
      <c r="D21" s="158"/>
      <c r="E21" s="158"/>
      <c r="F21" s="158"/>
      <c r="G21" s="158"/>
      <c r="H21" s="158"/>
      <c r="I21" s="158"/>
      <c r="J21" s="158"/>
      <c r="K21" s="158"/>
    </row>
    <row r="22" spans="1:11" x14ac:dyDescent="0.25">
      <c r="B22" s="158"/>
      <c r="C22" s="158"/>
      <c r="D22" s="158"/>
      <c r="E22" s="158"/>
      <c r="F22" s="158"/>
      <c r="G22" s="158"/>
      <c r="H22" s="158"/>
      <c r="I22" s="158"/>
      <c r="J22" s="158"/>
      <c r="K22" s="158"/>
    </row>
    <row r="23" spans="1:11" x14ac:dyDescent="0.25">
      <c r="B23" s="158"/>
      <c r="C23" s="158"/>
      <c r="D23" s="158"/>
      <c r="E23" s="158"/>
      <c r="F23" s="158"/>
      <c r="G23" s="158"/>
      <c r="H23" s="158"/>
      <c r="I23" s="158"/>
      <c r="J23" s="158"/>
      <c r="K23" s="158"/>
    </row>
    <row r="24" spans="1:11" x14ac:dyDescent="0.25">
      <c r="B24" s="158"/>
      <c r="C24" s="158"/>
      <c r="D24" s="158"/>
      <c r="E24" s="158"/>
      <c r="F24" s="158"/>
      <c r="G24" s="158"/>
      <c r="H24" s="158"/>
      <c r="I24" s="158"/>
      <c r="J24" s="158"/>
      <c r="K24" s="158"/>
    </row>
    <row r="25" spans="1:11" x14ac:dyDescent="0.25">
      <c r="B25" s="158"/>
      <c r="C25" s="158"/>
      <c r="D25" s="158"/>
      <c r="E25" s="158"/>
      <c r="F25" s="158"/>
      <c r="G25" s="158"/>
      <c r="H25" s="158"/>
      <c r="I25" s="158"/>
      <c r="J25" s="158"/>
      <c r="K25" s="158"/>
    </row>
    <row r="26" spans="1:11" x14ac:dyDescent="0.25"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 x14ac:dyDescent="0.25">
      <c r="B27" s="158"/>
      <c r="C27" s="158"/>
      <c r="D27" s="158"/>
      <c r="E27" s="158"/>
      <c r="F27" s="158"/>
      <c r="G27" s="158"/>
      <c r="H27" s="158"/>
      <c r="I27" s="158"/>
      <c r="J27" s="158"/>
      <c r="K27" s="158"/>
    </row>
    <row r="28" spans="1:11" x14ac:dyDescent="0.25">
      <c r="B28" s="158"/>
      <c r="C28" s="158"/>
      <c r="D28" s="158"/>
      <c r="E28" s="158"/>
      <c r="F28" s="158"/>
      <c r="G28" s="158"/>
      <c r="H28" s="158"/>
      <c r="I28" s="158"/>
      <c r="J28" s="158"/>
      <c r="K28" s="158"/>
    </row>
    <row r="29" spans="1:11" x14ac:dyDescent="0.25">
      <c r="B29" s="158"/>
      <c r="C29" s="158"/>
      <c r="D29" s="158"/>
      <c r="E29" s="158"/>
      <c r="F29" s="158"/>
      <c r="G29" s="158"/>
      <c r="H29" s="158"/>
      <c r="I29" s="158"/>
      <c r="J29" s="158"/>
      <c r="K29" s="158"/>
    </row>
    <row r="30" spans="1:11" x14ac:dyDescent="0.25">
      <c r="B30" s="158"/>
      <c r="C30" s="158"/>
      <c r="D30" s="158"/>
      <c r="E30" s="158"/>
      <c r="F30" s="158"/>
      <c r="G30" s="158"/>
      <c r="H30" s="158"/>
      <c r="I30" s="158"/>
      <c r="J30" s="158"/>
      <c r="K30" s="158"/>
    </row>
    <row r="31" spans="1:11" x14ac:dyDescent="0.25">
      <c r="B31" s="158"/>
      <c r="C31" s="158"/>
      <c r="D31" s="158"/>
      <c r="E31" s="158"/>
      <c r="F31" s="158"/>
      <c r="G31" s="158"/>
      <c r="H31" s="158"/>
      <c r="I31" s="158"/>
      <c r="J31" s="158"/>
      <c r="K31" s="158"/>
    </row>
    <row r="32" spans="1:11" x14ac:dyDescent="0.25">
      <c r="B32" s="158"/>
      <c r="C32" s="158"/>
      <c r="D32" s="158"/>
      <c r="E32" s="158"/>
      <c r="F32" s="158"/>
      <c r="G32" s="158"/>
      <c r="H32" s="158"/>
      <c r="I32" s="158"/>
      <c r="J32" s="158"/>
      <c r="K32" s="158"/>
    </row>
    <row r="33" spans="2:11" x14ac:dyDescent="0.25">
      <c r="B33" s="158"/>
      <c r="C33" s="158"/>
      <c r="D33" s="158"/>
      <c r="E33" s="158"/>
      <c r="F33" s="158"/>
      <c r="G33" s="158"/>
      <c r="H33" s="158"/>
      <c r="I33" s="158"/>
      <c r="J33" s="158"/>
      <c r="K33" s="158"/>
    </row>
    <row r="34" spans="2:11" x14ac:dyDescent="0.25">
      <c r="B34" s="158"/>
      <c r="C34" s="158"/>
      <c r="D34" s="158"/>
      <c r="E34" s="158"/>
      <c r="F34" s="158"/>
      <c r="G34" s="158"/>
      <c r="H34" s="158"/>
      <c r="I34" s="158"/>
      <c r="J34" s="158"/>
      <c r="K34" s="158"/>
    </row>
    <row r="35" spans="2:11" x14ac:dyDescent="0.25">
      <c r="B35" s="158"/>
      <c r="C35" s="158"/>
      <c r="D35" s="158"/>
      <c r="E35" s="158"/>
      <c r="F35" s="158"/>
      <c r="G35" s="158"/>
      <c r="H35" s="158"/>
      <c r="I35" s="158"/>
      <c r="J35" s="158"/>
      <c r="K35" s="158"/>
    </row>
    <row r="36" spans="2:11" x14ac:dyDescent="0.25">
      <c r="B36" s="158"/>
      <c r="C36" s="158"/>
      <c r="D36" s="158"/>
      <c r="E36" s="158"/>
      <c r="F36" s="158"/>
      <c r="G36" s="158"/>
      <c r="H36" s="158"/>
      <c r="I36" s="158"/>
      <c r="J36" s="158"/>
      <c r="K36" s="158"/>
    </row>
    <row r="37" spans="2:11" x14ac:dyDescent="0.25">
      <c r="B37" s="158"/>
      <c r="C37" s="158"/>
      <c r="D37" s="158"/>
      <c r="E37" s="158"/>
      <c r="F37" s="158"/>
      <c r="G37" s="158"/>
      <c r="H37" s="158"/>
      <c r="I37" s="158"/>
      <c r="J37" s="158"/>
      <c r="K37" s="158"/>
    </row>
    <row r="38" spans="2:11" x14ac:dyDescent="0.25">
      <c r="B38" s="158"/>
      <c r="C38" s="158"/>
      <c r="D38" s="158"/>
      <c r="E38" s="158"/>
      <c r="F38" s="158"/>
      <c r="G38" s="158"/>
      <c r="H38" s="158"/>
      <c r="I38" s="158"/>
      <c r="J38" s="158"/>
      <c r="K38" s="158"/>
    </row>
    <row r="39" spans="2:11" x14ac:dyDescent="0.25">
      <c r="B39" s="158"/>
      <c r="C39" s="158"/>
      <c r="D39" s="158"/>
      <c r="E39" s="158"/>
      <c r="F39" s="158"/>
      <c r="G39" s="158"/>
      <c r="H39" s="158"/>
      <c r="I39" s="158"/>
      <c r="J39" s="158"/>
      <c r="K39" s="158"/>
    </row>
    <row r="40" spans="2:11" x14ac:dyDescent="0.25">
      <c r="B40" s="158"/>
      <c r="C40" s="158"/>
      <c r="D40" s="158"/>
      <c r="E40" s="158"/>
      <c r="F40" s="158"/>
      <c r="G40" s="158"/>
      <c r="H40" s="158"/>
      <c r="I40" s="158"/>
      <c r="J40" s="158"/>
      <c r="K40" s="158"/>
    </row>
    <row r="41" spans="2:11" x14ac:dyDescent="0.25">
      <c r="B41" s="158"/>
      <c r="C41" s="158"/>
      <c r="D41" s="158"/>
      <c r="E41" s="158"/>
      <c r="F41" s="158"/>
      <c r="G41" s="158"/>
      <c r="H41" s="158"/>
      <c r="I41" s="158"/>
      <c r="J41" s="158"/>
      <c r="K41" s="158"/>
    </row>
    <row r="42" spans="2:11" x14ac:dyDescent="0.25">
      <c r="B42" s="158"/>
      <c r="C42" s="158"/>
      <c r="D42" s="158"/>
      <c r="E42" s="158"/>
      <c r="F42" s="158"/>
      <c r="G42" s="158"/>
      <c r="H42" s="158"/>
      <c r="I42" s="158"/>
      <c r="J42" s="158"/>
      <c r="K42" s="158"/>
    </row>
    <row r="43" spans="2:11" x14ac:dyDescent="0.25">
      <c r="B43" s="158"/>
      <c r="C43" s="158"/>
      <c r="D43" s="158"/>
      <c r="E43" s="158"/>
      <c r="F43" s="158"/>
      <c r="G43" s="158"/>
      <c r="H43" s="158"/>
      <c r="I43" s="158"/>
      <c r="J43" s="158"/>
      <c r="K43" s="158"/>
    </row>
    <row r="44" spans="2:11" x14ac:dyDescent="0.25">
      <c r="B44" s="158"/>
      <c r="C44" s="158"/>
      <c r="D44" s="158"/>
      <c r="E44" s="158"/>
      <c r="F44" s="158"/>
      <c r="G44" s="158"/>
      <c r="H44" s="158"/>
      <c r="I44" s="158"/>
      <c r="J44" s="158"/>
      <c r="K44" s="158"/>
    </row>
    <row r="45" spans="2:11" x14ac:dyDescent="0.25">
      <c r="B45" s="158"/>
      <c r="C45" s="158"/>
      <c r="D45" s="158"/>
      <c r="E45" s="158"/>
      <c r="F45" s="158"/>
      <c r="G45" s="158"/>
      <c r="H45" s="158"/>
      <c r="I45" s="158"/>
      <c r="J45" s="158"/>
      <c r="K45" s="158"/>
    </row>
    <row r="46" spans="2:11" x14ac:dyDescent="0.25">
      <c r="B46" s="158"/>
      <c r="C46" s="158"/>
      <c r="D46" s="158"/>
      <c r="E46" s="158"/>
      <c r="F46" s="158"/>
      <c r="G46" s="158"/>
      <c r="H46" s="158"/>
      <c r="I46" s="158"/>
      <c r="J46" s="158"/>
      <c r="K46" s="158"/>
    </row>
    <row r="47" spans="2:11" x14ac:dyDescent="0.25">
      <c r="B47" s="158"/>
      <c r="C47" s="158"/>
      <c r="D47" s="158"/>
      <c r="E47" s="158"/>
      <c r="F47" s="158"/>
      <c r="G47" s="158"/>
      <c r="H47" s="158"/>
      <c r="I47" s="158"/>
      <c r="J47" s="158"/>
      <c r="K47" s="158"/>
    </row>
    <row r="48" spans="2:11" x14ac:dyDescent="0.25">
      <c r="B48" s="158"/>
      <c r="C48" s="158"/>
      <c r="D48" s="158"/>
      <c r="E48" s="158"/>
      <c r="F48" s="158"/>
      <c r="G48" s="158"/>
      <c r="H48" s="158"/>
      <c r="I48" s="158"/>
      <c r="J48" s="158"/>
      <c r="K48" s="158"/>
    </row>
    <row r="49" spans="2:11" x14ac:dyDescent="0.25">
      <c r="B49" s="158"/>
      <c r="C49" s="158"/>
      <c r="D49" s="158"/>
      <c r="E49" s="158"/>
      <c r="F49" s="158"/>
      <c r="G49" s="158"/>
      <c r="H49" s="158"/>
      <c r="I49" s="158"/>
      <c r="J49" s="158"/>
      <c r="K49" s="158"/>
    </row>
    <row r="50" spans="2:11" x14ac:dyDescent="0.25">
      <c r="B50" s="158"/>
      <c r="C50" s="158"/>
      <c r="D50" s="158"/>
      <c r="E50" s="158"/>
      <c r="F50" s="158"/>
      <c r="G50" s="158"/>
      <c r="H50" s="158"/>
      <c r="I50" s="158"/>
      <c r="J50" s="158"/>
      <c r="K50" s="158"/>
    </row>
    <row r="51" spans="2:11" x14ac:dyDescent="0.25">
      <c r="B51" s="158"/>
      <c r="C51" s="158"/>
      <c r="D51" s="158"/>
      <c r="E51" s="158"/>
      <c r="F51" s="158"/>
      <c r="G51" s="158"/>
      <c r="H51" s="158"/>
      <c r="I51" s="158"/>
      <c r="J51" s="158"/>
      <c r="K51" s="158"/>
    </row>
    <row r="52" spans="2:11" x14ac:dyDescent="0.25">
      <c r="B52" s="158"/>
      <c r="C52" s="158"/>
      <c r="D52" s="158"/>
      <c r="E52" s="158"/>
      <c r="F52" s="158"/>
      <c r="G52" s="158"/>
      <c r="H52" s="158"/>
      <c r="I52" s="158"/>
      <c r="J52" s="158"/>
      <c r="K52" s="158"/>
    </row>
    <row r="53" spans="2:11" x14ac:dyDescent="0.25">
      <c r="B53" s="158"/>
      <c r="C53" s="158"/>
      <c r="D53" s="158"/>
      <c r="E53" s="158"/>
      <c r="F53" s="158"/>
      <c r="G53" s="158"/>
      <c r="H53" s="158"/>
      <c r="I53" s="158"/>
      <c r="J53" s="158"/>
      <c r="K53" s="158"/>
    </row>
    <row r="54" spans="2:11" x14ac:dyDescent="0.25">
      <c r="B54" s="158"/>
      <c r="C54" s="158"/>
      <c r="D54" s="158"/>
      <c r="E54" s="158"/>
      <c r="F54" s="158"/>
      <c r="G54" s="158"/>
      <c r="H54" s="158"/>
      <c r="I54" s="158"/>
      <c r="J54" s="158"/>
      <c r="K54" s="15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550BA-F666-4CBB-A7D6-083276FF8291}">
  <dimension ref="A1:E7"/>
  <sheetViews>
    <sheetView workbookViewId="0">
      <selection activeCell="D7" sqref="D7"/>
    </sheetView>
  </sheetViews>
  <sheetFormatPr defaultRowHeight="12.75" x14ac:dyDescent="0.2"/>
  <cols>
    <col min="1" max="1" width="16.140625" customWidth="1"/>
    <col min="3" max="3" width="10.5703125" bestFit="1" customWidth="1"/>
    <col min="4" max="4" width="11.5703125" bestFit="1" customWidth="1"/>
  </cols>
  <sheetData>
    <row r="1" spans="1:5" x14ac:dyDescent="0.2">
      <c r="A1" t="s">
        <v>187</v>
      </c>
      <c r="B1">
        <v>7</v>
      </c>
      <c r="C1" s="108">
        <v>1500</v>
      </c>
      <c r="D1" s="108">
        <f>C1*B1</f>
        <v>10500</v>
      </c>
    </row>
    <row r="2" spans="1:5" x14ac:dyDescent="0.2">
      <c r="A2" t="s">
        <v>188</v>
      </c>
      <c r="B2">
        <v>4</v>
      </c>
      <c r="C2" s="108">
        <v>1773.76</v>
      </c>
      <c r="D2" s="108">
        <f>C2*B2</f>
        <v>7095.04</v>
      </c>
      <c r="E2" t="s">
        <v>332</v>
      </c>
    </row>
    <row r="3" spans="1:5" x14ac:dyDescent="0.2">
      <c r="A3" t="s">
        <v>189</v>
      </c>
      <c r="B3">
        <v>1</v>
      </c>
      <c r="C3" s="108">
        <v>1900</v>
      </c>
      <c r="D3" s="108">
        <v>1900</v>
      </c>
      <c r="E3" t="s">
        <v>332</v>
      </c>
    </row>
    <row r="4" spans="1:5" x14ac:dyDescent="0.2">
      <c r="A4" t="s">
        <v>190</v>
      </c>
      <c r="B4">
        <v>3</v>
      </c>
      <c r="D4" s="108">
        <f>C4*B4</f>
        <v>0</v>
      </c>
    </row>
    <row r="7" spans="1:5" x14ac:dyDescent="0.2">
      <c r="D7" s="103">
        <f>SUM(D1:D6)</f>
        <v>19495.04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8E7C2-22FE-4F6D-A831-8131CB26F2B9}">
  <dimension ref="A1:D17"/>
  <sheetViews>
    <sheetView workbookViewId="0">
      <selection activeCell="C6" sqref="C6"/>
    </sheetView>
  </sheetViews>
  <sheetFormatPr defaultRowHeight="12.75" x14ac:dyDescent="0.2"/>
  <cols>
    <col min="1" max="1" width="31.28515625" customWidth="1"/>
    <col min="2" max="2" width="9.28515625" bestFit="1" customWidth="1"/>
    <col min="3" max="3" width="11.5703125" bestFit="1" customWidth="1"/>
  </cols>
  <sheetData>
    <row r="1" spans="1:4" x14ac:dyDescent="0.2">
      <c r="B1" t="s">
        <v>204</v>
      </c>
      <c r="C1" t="s">
        <v>205</v>
      </c>
    </row>
    <row r="2" spans="1:4" x14ac:dyDescent="0.2">
      <c r="A2" t="s">
        <v>206</v>
      </c>
    </row>
    <row r="3" spans="1:4" x14ac:dyDescent="0.2">
      <c r="A3" s="1" t="s">
        <v>207</v>
      </c>
      <c r="B3" s="108">
        <v>44.99</v>
      </c>
      <c r="C3" s="108">
        <f>(B3*9)*12</f>
        <v>4858.92</v>
      </c>
    </row>
    <row r="4" spans="1:4" x14ac:dyDescent="0.2">
      <c r="A4" s="1" t="s">
        <v>208</v>
      </c>
      <c r="B4" s="108">
        <v>39.99</v>
      </c>
      <c r="C4" s="108">
        <f>(B4*6)*12</f>
        <v>2879.2799999999997</v>
      </c>
    </row>
    <row r="5" spans="1:4" x14ac:dyDescent="0.2">
      <c r="A5" s="1" t="s">
        <v>209</v>
      </c>
      <c r="B5" s="108">
        <v>34.99</v>
      </c>
      <c r="C5" s="108">
        <f>B5*12</f>
        <v>419.88</v>
      </c>
    </row>
    <row r="6" spans="1:4" x14ac:dyDescent="0.2">
      <c r="A6" s="1" t="s">
        <v>210</v>
      </c>
      <c r="B6" s="108">
        <v>34.99</v>
      </c>
      <c r="C6" s="136">
        <f>(B6*7)*12</f>
        <v>2939.16</v>
      </c>
      <c r="D6" t="s">
        <v>331</v>
      </c>
    </row>
    <row r="7" spans="1:4" x14ac:dyDescent="0.2">
      <c r="A7" s="1" t="s">
        <v>211</v>
      </c>
      <c r="B7" s="112" t="s">
        <v>212</v>
      </c>
      <c r="C7" s="108">
        <v>34.99</v>
      </c>
    </row>
    <row r="8" spans="1:4" x14ac:dyDescent="0.2">
      <c r="A8" t="s">
        <v>213</v>
      </c>
      <c r="B8" s="108">
        <v>241.06</v>
      </c>
      <c r="C8" s="108">
        <f>B8*12*1.05</f>
        <v>3037.3560000000002</v>
      </c>
    </row>
    <row r="9" spans="1:4" x14ac:dyDescent="0.2">
      <c r="A9" t="s">
        <v>214</v>
      </c>
      <c r="B9" s="108"/>
      <c r="C9" s="108">
        <v>6621.22</v>
      </c>
    </row>
    <row r="10" spans="1:4" x14ac:dyDescent="0.2">
      <c r="A10" t="s">
        <v>215</v>
      </c>
      <c r="B10" s="108"/>
      <c r="C10" s="108"/>
    </row>
    <row r="11" spans="1:4" x14ac:dyDescent="0.2">
      <c r="A11" s="1" t="s">
        <v>216</v>
      </c>
      <c r="B11" s="108">
        <v>162.9</v>
      </c>
      <c r="C11" s="108">
        <f>B11*12*1.05</f>
        <v>2052.5400000000004</v>
      </c>
    </row>
    <row r="12" spans="1:4" x14ac:dyDescent="0.2">
      <c r="A12" s="1" t="s">
        <v>217</v>
      </c>
      <c r="B12" s="108">
        <v>162.9</v>
      </c>
      <c r="C12" s="108">
        <f>B12*12*1.05</f>
        <v>2052.5400000000004</v>
      </c>
    </row>
    <row r="13" spans="1:4" x14ac:dyDescent="0.2">
      <c r="A13" s="1" t="s">
        <v>218</v>
      </c>
      <c r="B13" s="108">
        <v>261.39999999999998</v>
      </c>
      <c r="C13" s="108">
        <f>B13*12*1.05</f>
        <v>3293.64</v>
      </c>
    </row>
    <row r="14" spans="1:4" x14ac:dyDescent="0.2">
      <c r="A14" t="s">
        <v>219</v>
      </c>
      <c r="B14" s="108">
        <v>295</v>
      </c>
      <c r="C14" s="108">
        <f>B14*12</f>
        <v>3540</v>
      </c>
      <c r="D14" s="135" t="s">
        <v>334</v>
      </c>
    </row>
    <row r="15" spans="1:4" x14ac:dyDescent="0.2">
      <c r="B15" s="108"/>
      <c r="C15" s="108"/>
    </row>
    <row r="16" spans="1:4" x14ac:dyDescent="0.2">
      <c r="B16" s="108"/>
      <c r="C16" s="109"/>
    </row>
    <row r="17" spans="2:3" ht="15" x14ac:dyDescent="0.25">
      <c r="B17" s="108"/>
      <c r="C17" s="111">
        <f>SUM(C3:C16)</f>
        <v>31729.526000000002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D0D75-4C0A-4D99-994E-521600F26ABE}">
  <dimension ref="A1:D31"/>
  <sheetViews>
    <sheetView topLeftCell="A13" workbookViewId="0">
      <selection activeCell="A21" sqref="A21"/>
    </sheetView>
  </sheetViews>
  <sheetFormatPr defaultRowHeight="12.75" x14ac:dyDescent="0.2"/>
  <cols>
    <col min="1" max="1" width="37.42578125" bestFit="1" customWidth="1"/>
    <col min="2" max="2" width="10.5703125" style="110" bestFit="1" customWidth="1"/>
    <col min="3" max="3" width="11.5703125" style="110" bestFit="1" customWidth="1"/>
  </cols>
  <sheetData>
    <row r="1" spans="1:4" x14ac:dyDescent="0.2">
      <c r="A1" t="s">
        <v>191</v>
      </c>
      <c r="B1" s="108">
        <v>1089</v>
      </c>
      <c r="C1" s="108">
        <f>B1*12</f>
        <v>13068</v>
      </c>
    </row>
    <row r="2" spans="1:4" x14ac:dyDescent="0.2">
      <c r="A2" t="s">
        <v>192</v>
      </c>
      <c r="B2" s="108"/>
      <c r="C2" s="108">
        <v>1922</v>
      </c>
    </row>
    <row r="3" spans="1:4" x14ac:dyDescent="0.2">
      <c r="A3" t="s">
        <v>193</v>
      </c>
      <c r="B3" s="108"/>
      <c r="C3" s="108">
        <v>1513</v>
      </c>
    </row>
    <row r="4" spans="1:4" x14ac:dyDescent="0.2">
      <c r="A4" s="133" t="s">
        <v>194</v>
      </c>
      <c r="B4" s="108"/>
      <c r="C4" s="108">
        <v>5547.56</v>
      </c>
    </row>
    <row r="5" spans="1:4" x14ac:dyDescent="0.2">
      <c r="A5" t="s">
        <v>329</v>
      </c>
      <c r="B5" s="108"/>
      <c r="C5" s="108">
        <f>14612+3000</f>
        <v>17612</v>
      </c>
      <c r="D5" s="114" t="s">
        <v>330</v>
      </c>
    </row>
    <row r="6" spans="1:4" x14ac:dyDescent="0.2">
      <c r="A6" t="s">
        <v>230</v>
      </c>
      <c r="B6" s="108"/>
      <c r="C6" s="108">
        <v>0</v>
      </c>
      <c r="D6" s="114" t="s">
        <v>229</v>
      </c>
    </row>
    <row r="7" spans="1:4" x14ac:dyDescent="0.2">
      <c r="A7" s="113" t="s">
        <v>195</v>
      </c>
      <c r="B7" s="108"/>
      <c r="C7" s="108">
        <v>0</v>
      </c>
      <c r="D7" s="114" t="s">
        <v>225</v>
      </c>
    </row>
    <row r="8" spans="1:4" x14ac:dyDescent="0.2">
      <c r="A8" t="s">
        <v>196</v>
      </c>
      <c r="B8" s="108">
        <v>14.99</v>
      </c>
      <c r="C8" s="108">
        <f>B8*12</f>
        <v>179.88</v>
      </c>
    </row>
    <row r="9" spans="1:4" x14ac:dyDescent="0.2">
      <c r="A9" t="s">
        <v>197</v>
      </c>
      <c r="B9" s="108">
        <v>229.95</v>
      </c>
      <c r="C9" s="108">
        <f t="shared" ref="C9:C10" si="0">B9*12</f>
        <v>2759.3999999999996</v>
      </c>
    </row>
    <row r="10" spans="1:4" x14ac:dyDescent="0.2">
      <c r="A10" t="s">
        <v>198</v>
      </c>
      <c r="B10" s="108"/>
      <c r="C10" s="108">
        <f t="shared" si="0"/>
        <v>0</v>
      </c>
    </row>
    <row r="11" spans="1:4" x14ac:dyDescent="0.2">
      <c r="A11" t="s">
        <v>199</v>
      </c>
      <c r="B11" s="108"/>
      <c r="C11" s="108">
        <v>540</v>
      </c>
    </row>
    <row r="12" spans="1:4" x14ac:dyDescent="0.2">
      <c r="A12" t="s">
        <v>200</v>
      </c>
      <c r="B12" s="108">
        <v>19.98</v>
      </c>
      <c r="C12" s="108">
        <f>B12*12</f>
        <v>239.76</v>
      </c>
    </row>
    <row r="13" spans="1:4" x14ac:dyDescent="0.2">
      <c r="A13" t="s">
        <v>201</v>
      </c>
      <c r="B13" s="108">
        <v>99</v>
      </c>
      <c r="C13" s="108">
        <v>0</v>
      </c>
      <c r="D13" s="114" t="s">
        <v>224</v>
      </c>
    </row>
    <row r="14" spans="1:4" x14ac:dyDescent="0.2">
      <c r="A14" t="s">
        <v>202</v>
      </c>
      <c r="B14" s="108"/>
      <c r="C14" s="108">
        <v>2600</v>
      </c>
    </row>
    <row r="15" spans="1:4" x14ac:dyDescent="0.2">
      <c r="A15" t="s">
        <v>203</v>
      </c>
      <c r="B15" s="108"/>
      <c r="C15" s="108">
        <v>1800</v>
      </c>
    </row>
    <row r="16" spans="1:4" x14ac:dyDescent="0.2">
      <c r="A16" t="s">
        <v>220</v>
      </c>
      <c r="B16" s="108"/>
      <c r="C16" s="108">
        <v>2776</v>
      </c>
    </row>
    <row r="17" spans="1:4" x14ac:dyDescent="0.2">
      <c r="A17" t="s">
        <v>221</v>
      </c>
      <c r="B17" s="108"/>
      <c r="C17" s="108">
        <v>300</v>
      </c>
    </row>
    <row r="18" spans="1:4" x14ac:dyDescent="0.2">
      <c r="A18" s="133" t="s">
        <v>222</v>
      </c>
      <c r="B18" s="108"/>
      <c r="C18" s="108">
        <v>10448</v>
      </c>
    </row>
    <row r="19" spans="1:4" x14ac:dyDescent="0.2">
      <c r="A19" s="116" t="s">
        <v>223</v>
      </c>
      <c r="B19" s="108"/>
      <c r="C19" s="108">
        <v>6000</v>
      </c>
    </row>
    <row r="20" spans="1:4" x14ac:dyDescent="0.2">
      <c r="A20" s="116" t="s">
        <v>226</v>
      </c>
      <c r="B20" s="108">
        <v>295</v>
      </c>
      <c r="C20" s="108">
        <f>B20*12</f>
        <v>3540</v>
      </c>
    </row>
    <row r="21" spans="1:4" x14ac:dyDescent="0.2">
      <c r="A21" s="116" t="s">
        <v>227</v>
      </c>
      <c r="B21" s="108">
        <v>230</v>
      </c>
      <c r="C21" s="108">
        <f>B21*12</f>
        <v>2760</v>
      </c>
    </row>
    <row r="22" spans="1:4" x14ac:dyDescent="0.2">
      <c r="A22" s="116" t="s">
        <v>335</v>
      </c>
      <c r="B22" s="108"/>
      <c r="C22" s="108">
        <v>5239</v>
      </c>
      <c r="D22" s="114" t="s">
        <v>231</v>
      </c>
    </row>
    <row r="23" spans="1:4" x14ac:dyDescent="0.2">
      <c r="A23" s="116" t="s">
        <v>228</v>
      </c>
      <c r="B23" s="108"/>
      <c r="C23" s="108">
        <v>5206.3</v>
      </c>
      <c r="D23" s="114" t="s">
        <v>231</v>
      </c>
    </row>
    <row r="24" spans="1:4" x14ac:dyDescent="0.2">
      <c r="A24" s="116" t="s">
        <v>328</v>
      </c>
      <c r="B24" s="108"/>
      <c r="C24" s="108">
        <v>5000</v>
      </c>
      <c r="D24" s="135" t="s">
        <v>334</v>
      </c>
    </row>
    <row r="25" spans="1:4" x14ac:dyDescent="0.2">
      <c r="A25" s="116"/>
      <c r="B25" s="108"/>
      <c r="C25" s="109"/>
    </row>
    <row r="26" spans="1:4" ht="15" x14ac:dyDescent="0.25">
      <c r="C26" s="111">
        <f>SUM(C1:C25)</f>
        <v>89050.900000000009</v>
      </c>
    </row>
    <row r="31" spans="1:4" x14ac:dyDescent="0.2">
      <c r="A31" s="133"/>
      <c r="B31" s="134" t="s">
        <v>333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F34B5-D61E-4C09-827B-00FD53488536}">
  <dimension ref="A3:Q8"/>
  <sheetViews>
    <sheetView workbookViewId="0">
      <selection activeCell="B8" sqref="B8"/>
    </sheetView>
  </sheetViews>
  <sheetFormatPr defaultRowHeight="12.75" x14ac:dyDescent="0.2"/>
  <cols>
    <col min="1" max="1" width="30.42578125" customWidth="1"/>
    <col min="2" max="2" width="14.7109375" style="103" customWidth="1"/>
    <col min="3" max="17" width="9.140625" style="103"/>
  </cols>
  <sheetData>
    <row r="3" spans="1:2" x14ac:dyDescent="0.2">
      <c r="A3" s="116" t="s">
        <v>233</v>
      </c>
      <c r="B3" s="103">
        <v>4000</v>
      </c>
    </row>
    <row r="4" spans="1:2" x14ac:dyDescent="0.2">
      <c r="A4" t="s">
        <v>234</v>
      </c>
      <c r="B4" s="103">
        <v>16500</v>
      </c>
    </row>
    <row r="5" spans="1:2" x14ac:dyDescent="0.2">
      <c r="A5" t="s">
        <v>235</v>
      </c>
      <c r="B5" s="103">
        <v>16100</v>
      </c>
    </row>
    <row r="6" spans="1:2" x14ac:dyDescent="0.2">
      <c r="A6" t="s">
        <v>236</v>
      </c>
      <c r="B6" s="103">
        <v>3600</v>
      </c>
    </row>
    <row r="7" spans="1:2" x14ac:dyDescent="0.2">
      <c r="A7" t="s">
        <v>237</v>
      </c>
      <c r="B7" s="103">
        <v>80000</v>
      </c>
    </row>
    <row r="8" spans="1:2" x14ac:dyDescent="0.2">
      <c r="B8" s="118">
        <f>SUM(B3:B7)</f>
        <v>120200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E73A4-6DAA-49D6-8820-C9F450E6147A}">
  <sheetPr>
    <pageSetUpPr fitToPage="1"/>
  </sheetPr>
  <dimension ref="A1:N82"/>
  <sheetViews>
    <sheetView zoomScaleNormal="100" workbookViewId="0">
      <selection activeCell="E11" sqref="E11"/>
    </sheetView>
  </sheetViews>
  <sheetFormatPr defaultRowHeight="12.75" x14ac:dyDescent="0.2"/>
  <cols>
    <col min="1" max="1" width="30.5703125" style="138" customWidth="1"/>
    <col min="2" max="2" width="18.28515625" style="138" customWidth="1"/>
    <col min="3" max="3" width="14.140625" style="140" customWidth="1"/>
    <col min="4" max="4" width="13.140625" style="139" customWidth="1"/>
    <col min="5" max="5" width="48.7109375" style="138" customWidth="1"/>
    <col min="6" max="6" width="9.140625" style="138"/>
    <col min="7" max="7" width="37.28515625" style="138" customWidth="1"/>
    <col min="8" max="14" width="9.140625" style="138"/>
  </cols>
  <sheetData>
    <row r="1" spans="1:5" ht="15" x14ac:dyDescent="0.25">
      <c r="A1" s="137" t="s">
        <v>336</v>
      </c>
    </row>
    <row r="2" spans="1:5" x14ac:dyDescent="0.2">
      <c r="A2" s="141"/>
    </row>
    <row r="3" spans="1:5" ht="15" x14ac:dyDescent="0.25">
      <c r="A3" s="143" t="s">
        <v>337</v>
      </c>
      <c r="B3" s="154" t="s">
        <v>346</v>
      </c>
      <c r="C3" s="145"/>
      <c r="D3" s="144"/>
    </row>
    <row r="4" spans="1:5" x14ac:dyDescent="0.2">
      <c r="A4" s="141" t="s">
        <v>339</v>
      </c>
      <c r="B4" s="146">
        <f>5*6*300</f>
        <v>9000</v>
      </c>
      <c r="C4" s="147" t="s">
        <v>347</v>
      </c>
      <c r="E4" s="148"/>
    </row>
    <row r="5" spans="1:5" x14ac:dyDescent="0.2">
      <c r="A5" s="141" t="s">
        <v>340</v>
      </c>
      <c r="B5" s="146">
        <v>5000</v>
      </c>
      <c r="C5" s="147" t="s">
        <v>351</v>
      </c>
    </row>
    <row r="6" spans="1:5" x14ac:dyDescent="0.2">
      <c r="A6" s="141" t="s">
        <v>352</v>
      </c>
      <c r="B6" s="146">
        <f>(3*4*300)+(4*80)</f>
        <v>3920</v>
      </c>
      <c r="C6" s="147" t="s">
        <v>355</v>
      </c>
    </row>
    <row r="7" spans="1:5" x14ac:dyDescent="0.2">
      <c r="A7" s="141" t="s">
        <v>341</v>
      </c>
      <c r="B7" s="146">
        <f>(3*3*300)+(3*600)+(3*3*80)</f>
        <v>5220</v>
      </c>
      <c r="C7" s="147" t="s">
        <v>348</v>
      </c>
    </row>
    <row r="8" spans="1:5" x14ac:dyDescent="0.2">
      <c r="A8" s="141" t="s">
        <v>342</v>
      </c>
      <c r="B8" s="146">
        <f>(2*4*300)+(4*80)</f>
        <v>2720</v>
      </c>
      <c r="C8" s="147" t="s">
        <v>353</v>
      </c>
    </row>
    <row r="9" spans="1:5" x14ac:dyDescent="0.2">
      <c r="A9" s="141" t="s">
        <v>343</v>
      </c>
      <c r="B9" s="146">
        <f>(5*4*300)+(4*80)</f>
        <v>6320</v>
      </c>
      <c r="C9" s="147" t="s">
        <v>354</v>
      </c>
    </row>
    <row r="10" spans="1:5" x14ac:dyDescent="0.2">
      <c r="A10" s="141" t="s">
        <v>338</v>
      </c>
      <c r="B10" s="146">
        <f>(4*5*300)+(5*80)</f>
        <v>6400</v>
      </c>
      <c r="C10" s="147" t="s">
        <v>349</v>
      </c>
    </row>
    <row r="11" spans="1:5" x14ac:dyDescent="0.2">
      <c r="A11" s="141" t="s">
        <v>344</v>
      </c>
      <c r="B11" s="146">
        <f>(3*4*300)+(4*80)</f>
        <v>3920</v>
      </c>
      <c r="C11" s="147" t="s">
        <v>350</v>
      </c>
    </row>
    <row r="12" spans="1:5" x14ac:dyDescent="0.2">
      <c r="A12" s="141" t="s">
        <v>358</v>
      </c>
      <c r="B12" s="146">
        <f>(3*2*300)+(2*80)</f>
        <v>1960</v>
      </c>
      <c r="C12" s="147" t="s">
        <v>359</v>
      </c>
    </row>
    <row r="13" spans="1:5" x14ac:dyDescent="0.2">
      <c r="A13" s="141" t="s">
        <v>356</v>
      </c>
      <c r="B13" s="146">
        <v>7000</v>
      </c>
      <c r="C13" s="147" t="s">
        <v>357</v>
      </c>
    </row>
    <row r="14" spans="1:5" x14ac:dyDescent="0.2">
      <c r="A14" s="141"/>
      <c r="C14" s="147"/>
    </row>
    <row r="15" spans="1:5" ht="15" x14ac:dyDescent="0.25">
      <c r="A15" s="143" t="s">
        <v>345</v>
      </c>
      <c r="B15" s="144">
        <f>SUM(B4:B14)</f>
        <v>51460</v>
      </c>
      <c r="C15" s="147"/>
    </row>
    <row r="16" spans="1:5" x14ac:dyDescent="0.2">
      <c r="A16" s="141"/>
      <c r="C16" s="147"/>
    </row>
    <row r="17" spans="1:8" x14ac:dyDescent="0.2">
      <c r="A17" s="141"/>
      <c r="C17" s="147"/>
    </row>
    <row r="18" spans="1:8" ht="15.75" x14ac:dyDescent="0.25">
      <c r="A18" s="141"/>
      <c r="C18" s="147"/>
      <c r="E18" s="149"/>
    </row>
    <row r="19" spans="1:8" ht="15.75" x14ac:dyDescent="0.25">
      <c r="A19" s="141"/>
      <c r="C19" s="147"/>
      <c r="E19" s="149"/>
    </row>
    <row r="20" spans="1:8" ht="15.75" x14ac:dyDescent="0.25">
      <c r="A20" s="141"/>
      <c r="C20" s="147"/>
      <c r="E20" s="149"/>
    </row>
    <row r="21" spans="1:8" ht="15.75" x14ac:dyDescent="0.25">
      <c r="A21" s="141"/>
      <c r="C21" s="147"/>
      <c r="E21" s="149"/>
    </row>
    <row r="22" spans="1:8" ht="15.75" x14ac:dyDescent="0.25">
      <c r="A22" s="141"/>
      <c r="C22" s="147"/>
      <c r="E22" s="149"/>
    </row>
    <row r="23" spans="1:8" ht="15.75" x14ac:dyDescent="0.25">
      <c r="A23" s="141"/>
      <c r="C23" s="147"/>
      <c r="E23" s="149"/>
    </row>
    <row r="25" spans="1:8" ht="15.75" x14ac:dyDescent="0.25">
      <c r="H25" s="150"/>
    </row>
    <row r="26" spans="1:8" ht="15.75" x14ac:dyDescent="0.25">
      <c r="H26" s="150"/>
    </row>
    <row r="27" spans="1:8" ht="15.75" x14ac:dyDescent="0.25">
      <c r="H27" s="150"/>
    </row>
    <row r="28" spans="1:8" ht="15.75" x14ac:dyDescent="0.25">
      <c r="A28" s="143"/>
      <c r="D28" s="142"/>
      <c r="E28" s="151"/>
      <c r="F28" s="152"/>
      <c r="G28" s="152"/>
      <c r="H28" s="150"/>
    </row>
    <row r="29" spans="1:8" ht="15.75" x14ac:dyDescent="0.25">
      <c r="E29" s="151"/>
      <c r="F29" s="149"/>
      <c r="G29" s="149"/>
      <c r="H29" s="150"/>
    </row>
    <row r="30" spans="1:8" ht="15.75" x14ac:dyDescent="0.25">
      <c r="A30" s="152"/>
      <c r="E30" s="151"/>
      <c r="F30" s="149"/>
      <c r="G30" s="149"/>
      <c r="H30" s="150"/>
    </row>
    <row r="31" spans="1:8" ht="15.75" x14ac:dyDescent="0.25">
      <c r="A31" s="149"/>
      <c r="E31" s="151"/>
      <c r="F31" s="149"/>
      <c r="G31" s="149"/>
    </row>
    <row r="32" spans="1:8" ht="15.75" x14ac:dyDescent="0.25">
      <c r="A32" s="149"/>
      <c r="E32" s="151"/>
      <c r="F32" s="149"/>
      <c r="G32" s="149"/>
    </row>
    <row r="33" spans="1:7" ht="15.75" x14ac:dyDescent="0.25">
      <c r="A33" s="149"/>
      <c r="E33" s="151"/>
      <c r="F33" s="149"/>
      <c r="G33" s="149"/>
    </row>
    <row r="34" spans="1:7" ht="15.75" x14ac:dyDescent="0.25">
      <c r="A34" s="149"/>
      <c r="E34" s="151"/>
      <c r="F34" s="149"/>
      <c r="G34" s="149"/>
    </row>
    <row r="35" spans="1:7" ht="15.75" x14ac:dyDescent="0.25">
      <c r="A35" s="149"/>
      <c r="E35" s="151"/>
      <c r="F35" s="149"/>
      <c r="G35" s="149"/>
    </row>
    <row r="36" spans="1:7" ht="15.75" x14ac:dyDescent="0.25">
      <c r="A36" s="149"/>
      <c r="E36" s="151"/>
      <c r="F36" s="149"/>
      <c r="G36" s="149"/>
    </row>
    <row r="37" spans="1:7" ht="15.75" x14ac:dyDescent="0.25">
      <c r="A37" s="149"/>
      <c r="E37" s="151"/>
      <c r="F37" s="149"/>
      <c r="G37" s="149"/>
    </row>
    <row r="38" spans="1:7" ht="15.75" x14ac:dyDescent="0.25">
      <c r="A38" s="149"/>
      <c r="E38" s="151"/>
      <c r="F38" s="149"/>
      <c r="G38" s="149"/>
    </row>
    <row r="39" spans="1:7" ht="15.75" x14ac:dyDescent="0.25">
      <c r="A39" s="149"/>
      <c r="E39" s="151"/>
      <c r="F39" s="149"/>
      <c r="G39" s="149"/>
    </row>
    <row r="40" spans="1:7" ht="15.75" x14ac:dyDescent="0.25">
      <c r="A40" s="149"/>
      <c r="E40" s="151"/>
      <c r="F40" s="149"/>
      <c r="G40" s="149"/>
    </row>
    <row r="41" spans="1:7" ht="15.75" x14ac:dyDescent="0.25">
      <c r="A41" s="149"/>
      <c r="E41" s="151"/>
      <c r="F41" s="149"/>
      <c r="G41" s="149"/>
    </row>
    <row r="42" spans="1:7" ht="15.75" x14ac:dyDescent="0.25">
      <c r="A42" s="149"/>
      <c r="E42" s="151"/>
      <c r="F42" s="149"/>
      <c r="G42" s="149"/>
    </row>
    <row r="43" spans="1:7" ht="15.75" x14ac:dyDescent="0.25">
      <c r="A43" s="149"/>
      <c r="E43" s="153"/>
      <c r="F43" s="149"/>
      <c r="G43" s="149"/>
    </row>
    <row r="44" spans="1:7" ht="15.75" x14ac:dyDescent="0.25">
      <c r="A44" s="149"/>
      <c r="E44" s="151"/>
      <c r="F44" s="149"/>
      <c r="G44" s="149"/>
    </row>
    <row r="45" spans="1:7" ht="15.75" x14ac:dyDescent="0.25">
      <c r="A45" s="149"/>
      <c r="E45" s="151"/>
      <c r="F45" s="149"/>
      <c r="G45" s="149"/>
    </row>
    <row r="46" spans="1:7" ht="15.75" x14ac:dyDescent="0.25">
      <c r="A46" s="149"/>
      <c r="E46" s="151"/>
      <c r="F46" s="149"/>
      <c r="G46" s="149"/>
    </row>
    <row r="47" spans="1:7" ht="15.75" x14ac:dyDescent="0.25">
      <c r="A47" s="149"/>
      <c r="E47" s="151"/>
      <c r="F47" s="149"/>
      <c r="G47" s="149"/>
    </row>
    <row r="48" spans="1:7" ht="15.75" x14ac:dyDescent="0.25">
      <c r="A48" s="149"/>
      <c r="E48" s="151"/>
      <c r="F48" s="149"/>
      <c r="G48" s="149"/>
    </row>
    <row r="49" spans="1:7" ht="15.75" x14ac:dyDescent="0.25">
      <c r="A49" s="149"/>
      <c r="E49" s="151"/>
      <c r="F49" s="149"/>
      <c r="G49" s="149"/>
    </row>
    <row r="50" spans="1:7" ht="15.75" x14ac:dyDescent="0.25">
      <c r="A50" s="149"/>
      <c r="E50" s="151"/>
      <c r="F50" s="149"/>
      <c r="G50" s="149"/>
    </row>
    <row r="51" spans="1:7" ht="15.75" x14ac:dyDescent="0.25">
      <c r="A51" s="149"/>
      <c r="E51" s="151"/>
      <c r="F51" s="149"/>
      <c r="G51" s="149"/>
    </row>
    <row r="52" spans="1:7" ht="15.75" x14ac:dyDescent="0.25">
      <c r="A52" s="149"/>
      <c r="E52" s="151"/>
      <c r="F52" s="149"/>
      <c r="G52" s="149"/>
    </row>
    <row r="53" spans="1:7" ht="15.75" x14ac:dyDescent="0.25">
      <c r="E53" s="151"/>
      <c r="F53" s="149"/>
      <c r="G53" s="149"/>
    </row>
    <row r="54" spans="1:7" ht="15.75" x14ac:dyDescent="0.25">
      <c r="E54" s="151"/>
      <c r="F54" s="149"/>
      <c r="G54" s="149"/>
    </row>
    <row r="55" spans="1:7" ht="15.75" x14ac:dyDescent="0.25">
      <c r="E55" s="151"/>
      <c r="F55" s="149"/>
      <c r="G55" s="149"/>
    </row>
    <row r="56" spans="1:7" ht="15.75" x14ac:dyDescent="0.25">
      <c r="E56" s="151"/>
      <c r="F56" s="149"/>
      <c r="G56" s="149"/>
    </row>
    <row r="57" spans="1:7" ht="15.75" x14ac:dyDescent="0.25">
      <c r="E57" s="151"/>
      <c r="F57" s="149"/>
      <c r="G57" s="149"/>
    </row>
    <row r="58" spans="1:7" ht="15.75" x14ac:dyDescent="0.25">
      <c r="E58" s="151"/>
      <c r="F58" s="149"/>
      <c r="G58" s="149"/>
    </row>
    <row r="59" spans="1:7" ht="15.75" x14ac:dyDescent="0.25">
      <c r="E59" s="151"/>
      <c r="F59" s="149"/>
      <c r="G59" s="149"/>
    </row>
    <row r="60" spans="1:7" ht="15.75" x14ac:dyDescent="0.25">
      <c r="E60" s="151"/>
      <c r="F60" s="149"/>
      <c r="G60" s="149"/>
    </row>
    <row r="61" spans="1:7" ht="15.75" x14ac:dyDescent="0.25">
      <c r="E61" s="151"/>
      <c r="F61" s="149"/>
      <c r="G61" s="149"/>
    </row>
    <row r="62" spans="1:7" ht="15.75" x14ac:dyDescent="0.25">
      <c r="E62" s="151"/>
      <c r="F62" s="149"/>
      <c r="G62" s="149"/>
    </row>
    <row r="63" spans="1:7" ht="15.75" x14ac:dyDescent="0.25">
      <c r="E63" s="151"/>
      <c r="F63" s="149"/>
      <c r="G63" s="149"/>
    </row>
    <row r="64" spans="1:7" ht="15.75" x14ac:dyDescent="0.25">
      <c r="E64" s="151"/>
      <c r="F64" s="149"/>
      <c r="G64" s="149"/>
    </row>
    <row r="65" spans="5:7" ht="15.75" x14ac:dyDescent="0.25">
      <c r="E65" s="151"/>
      <c r="F65" s="149"/>
      <c r="G65" s="149"/>
    </row>
    <row r="66" spans="5:7" ht="15.75" x14ac:dyDescent="0.25">
      <c r="E66" s="151"/>
      <c r="F66" s="149"/>
      <c r="G66" s="149"/>
    </row>
    <row r="67" spans="5:7" ht="15.75" x14ac:dyDescent="0.25">
      <c r="E67" s="151"/>
      <c r="F67" s="149"/>
      <c r="G67" s="149"/>
    </row>
    <row r="68" spans="5:7" ht="15.75" x14ac:dyDescent="0.25">
      <c r="E68" s="151"/>
      <c r="F68" s="149"/>
      <c r="G68" s="149"/>
    </row>
    <row r="69" spans="5:7" ht="15.75" x14ac:dyDescent="0.25">
      <c r="E69" s="151"/>
      <c r="F69" s="149"/>
      <c r="G69" s="149"/>
    </row>
    <row r="70" spans="5:7" ht="15.75" x14ac:dyDescent="0.25">
      <c r="E70" s="151"/>
      <c r="F70" s="149"/>
      <c r="G70" s="149"/>
    </row>
    <row r="71" spans="5:7" ht="15.75" x14ac:dyDescent="0.25">
      <c r="E71" s="151"/>
      <c r="F71" s="149"/>
      <c r="G71" s="149"/>
    </row>
    <row r="72" spans="5:7" ht="15.75" x14ac:dyDescent="0.25">
      <c r="E72" s="151"/>
      <c r="F72" s="149"/>
      <c r="G72" s="149"/>
    </row>
    <row r="73" spans="5:7" ht="15.75" x14ac:dyDescent="0.25">
      <c r="E73" s="151"/>
      <c r="F73" s="149"/>
      <c r="G73" s="149"/>
    </row>
    <row r="74" spans="5:7" ht="15.75" x14ac:dyDescent="0.25">
      <c r="E74" s="151"/>
      <c r="F74" s="149"/>
      <c r="G74" s="149"/>
    </row>
    <row r="75" spans="5:7" ht="15.75" x14ac:dyDescent="0.25">
      <c r="E75" s="151"/>
      <c r="F75" s="149"/>
      <c r="G75" s="149"/>
    </row>
    <row r="76" spans="5:7" ht="15.75" x14ac:dyDescent="0.25">
      <c r="E76" s="153"/>
      <c r="F76" s="149"/>
      <c r="G76" s="149"/>
    </row>
    <row r="77" spans="5:7" ht="15.75" x14ac:dyDescent="0.25">
      <c r="E77" s="151"/>
      <c r="F77" s="149"/>
      <c r="G77" s="149"/>
    </row>
    <row r="78" spans="5:7" ht="15.75" x14ac:dyDescent="0.25">
      <c r="E78" s="151"/>
      <c r="F78" s="149"/>
      <c r="G78" s="149"/>
    </row>
    <row r="79" spans="5:7" ht="15.75" x14ac:dyDescent="0.25">
      <c r="E79" s="151"/>
      <c r="F79" s="149"/>
      <c r="G79" s="149"/>
    </row>
    <row r="80" spans="5:7" ht="15.75" x14ac:dyDescent="0.25">
      <c r="E80" s="151"/>
      <c r="F80" s="149"/>
      <c r="G80" s="149"/>
    </row>
    <row r="81" spans="5:7" ht="15.75" x14ac:dyDescent="0.25">
      <c r="E81" s="151"/>
      <c r="F81" s="149"/>
      <c r="G81" s="149"/>
    </row>
    <row r="82" spans="5:7" ht="15.75" x14ac:dyDescent="0.25">
      <c r="E82" s="153"/>
      <c r="F82" s="149"/>
      <c r="G82" s="149"/>
    </row>
  </sheetData>
  <pageMargins left="0.7" right="0.7" top="0.75" bottom="0.75" header="0.3" footer="0.3"/>
  <pageSetup orientation="landscape" r:id="rId1"/>
  <rowBreaks count="1" manualBreakCount="1">
    <brk id="28" max="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1BAF5-6A97-4307-929C-456C5AE07009}">
  <dimension ref="A1"/>
  <sheetViews>
    <sheetView workbookViewId="0">
      <selection activeCell="H32" sqref="H32"/>
    </sheetView>
  </sheetViews>
  <sheetFormatPr defaultColWidth="9.140625" defaultRowHeight="15" x14ac:dyDescent="0.25"/>
  <cols>
    <col min="1" max="16384" width="9.140625" style="119"/>
  </cols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366FB-2E8F-47F7-B148-CAD1E076DD8B}">
  <dimension ref="A1"/>
  <sheetViews>
    <sheetView workbookViewId="0">
      <selection activeCell="H32" sqref="H32"/>
    </sheetView>
  </sheetViews>
  <sheetFormatPr defaultColWidth="9.140625" defaultRowHeight="15" x14ac:dyDescent="0.25"/>
  <cols>
    <col min="1" max="16384" width="9.140625" style="119"/>
  </cols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4DBFC-267D-44A3-93F1-F0066B1CD45E}">
  <dimension ref="A4:B5"/>
  <sheetViews>
    <sheetView workbookViewId="0">
      <selection activeCell="H32" sqref="H32"/>
    </sheetView>
  </sheetViews>
  <sheetFormatPr defaultColWidth="9.140625" defaultRowHeight="15" x14ac:dyDescent="0.25"/>
  <cols>
    <col min="1" max="1" width="13.7109375" style="119" bestFit="1" customWidth="1"/>
    <col min="2" max="2" width="9.85546875" style="119" bestFit="1" customWidth="1"/>
    <col min="3" max="16384" width="9.140625" style="119"/>
  </cols>
  <sheetData>
    <row r="4" spans="1:2" x14ac:dyDescent="0.25">
      <c r="A4" s="121" t="s">
        <v>241</v>
      </c>
      <c r="B4" s="120">
        <v>1500</v>
      </c>
    </row>
    <row r="5" spans="1:2" x14ac:dyDescent="0.25">
      <c r="A5" s="121" t="s">
        <v>240</v>
      </c>
      <c r="B5" s="120">
        <v>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FY26 Prelim Budget - GF</vt:lpstr>
      <vt:lpstr>Computer Equip</vt:lpstr>
      <vt:lpstr>Communications</vt:lpstr>
      <vt:lpstr>Computer Maint - Software</vt:lpstr>
      <vt:lpstr>Repair and Maint - Building</vt:lpstr>
      <vt:lpstr>Travel &amp; Per Diem </vt:lpstr>
      <vt:lpstr>Utilities</vt:lpstr>
      <vt:lpstr>Rentals &amp; Leases</vt:lpstr>
      <vt:lpstr>Repair &amp; Maint - Vehicles</vt:lpstr>
      <vt:lpstr>Repair &amp; Maint - Equipment</vt:lpstr>
      <vt:lpstr>Repair &amp; Maint - Building</vt:lpstr>
      <vt:lpstr>Pub ED</vt:lpstr>
      <vt:lpstr>EMS Supplies</vt:lpstr>
      <vt:lpstr>PPE (Non Capital)</vt:lpstr>
      <vt:lpstr>Fire Equipment (Non Capital)</vt:lpstr>
      <vt:lpstr>Capital Outlay</vt:lpstr>
      <vt:lpstr>'FY26 Prelim Budget - GF'!Print_Area</vt:lpstr>
      <vt:lpstr>'Travel &amp; Per Diem '!Print_Area</vt:lpstr>
      <vt:lpstr>'FY26 Prelim Budget - GF'!Print_Titles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Dowaliby</dc:creator>
  <cp:lastModifiedBy>James West</cp:lastModifiedBy>
  <cp:lastPrinted>2025-08-25T16:59:43Z</cp:lastPrinted>
  <dcterms:created xsi:type="dcterms:W3CDTF">2011-05-13T18:33:48Z</dcterms:created>
  <dcterms:modified xsi:type="dcterms:W3CDTF">2025-08-25T16:59:55Z</dcterms:modified>
</cp:coreProperties>
</file>